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3081BD50-47B4-4115-AA02-4A25DBB11E8C}"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30" r:id="rId4"/>
    <sheet name="SPI" sheetId="21" r:id="rId5"/>
    <sheet name="CALCULO ACTIVIDADES" sheetId="27"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ACTIVIDADES!$A$8:$V$25</definedName>
    <definedName name="_xlnm._FilterDatabase" localSheetId="0" hidden="1">GESTIÓN!$A$12:$FC$12</definedName>
    <definedName name="_xlnm._FilterDatabase" localSheetId="1" hidden="1">INVERSIÓN!$F$9:$G$9</definedName>
    <definedName name="_xlnm.Print_Area" localSheetId="2">ACTIVIDADES!$A$1:$V$6</definedName>
    <definedName name="_xlnm.Print_Area" localSheetId="0">GESTIÓN!$A$1:$FC$13</definedName>
    <definedName name="_xlnm.Print_Area" localSheetId="1">INVERSIÓN!$A$1:$FA$34</definedName>
    <definedName name="CONDICION_POBLACIONAL" localSheetId="5">[1]Variables!$C$1:$C$24</definedName>
    <definedName name="CONDICION_POBLACIONAL" localSheetId="4">[1]Variables!$C$1:$C$24</definedName>
    <definedName name="CONDICION_POBLACIONAL" localSheetId="3">[2]Variables!$C$1:$C$24</definedName>
    <definedName name="CONDICION_POBLACIONAL">[3]Variables!$C$1:$C$24</definedName>
    <definedName name="GRUPO_ETAREO" localSheetId="5">[1]Variables!$A$1:$A$8</definedName>
    <definedName name="GRUPO_ETAREO" localSheetId="4">[1]Variables!$A$1:$A$8</definedName>
    <definedName name="GRUPO_ETAREO" localSheetId="3">[2]Variables!$A$1:$A$8</definedName>
    <definedName name="GRUPO_ETAREO">[3]Variables!$A$1:$A$8</definedName>
    <definedName name="GRUPO_ETAREOS" localSheetId="5">#REF!</definedName>
    <definedName name="GRUPO_ETAREOS" localSheetId="4">#REF!</definedName>
    <definedName name="GRUPO_ETAREOS" localSheetId="3">#REF!</definedName>
    <definedName name="GRUPO_ETAREOS">#REF!</definedName>
    <definedName name="GRUPO_ETARIO" localSheetId="5">#REF!</definedName>
    <definedName name="GRUPO_ETARIO" localSheetId="4">#REF!</definedName>
    <definedName name="GRUPO_ETARIO" localSheetId="3">#REF!</definedName>
    <definedName name="GRUPO_ETARIO">#REF!</definedName>
    <definedName name="GRUPO_ETNICO" localSheetId="5">#REF!</definedName>
    <definedName name="GRUPO_ETNICO" localSheetId="4">#REF!</definedName>
    <definedName name="GRUPO_ETNICO" localSheetId="3">#REF!</definedName>
    <definedName name="GRUPO_ETNICO">#REF!</definedName>
    <definedName name="GRUPOETNICO" localSheetId="5">#REF!</definedName>
    <definedName name="GRUPOETNICO" localSheetId="4">#REF!</definedName>
    <definedName name="GRUPOETNICO" localSheetId="3">#REF!</definedName>
    <definedName name="GRUPOETNICO">#REF!</definedName>
    <definedName name="GRUPOS_ETNICOS" localSheetId="5">[1]Variables!$H$1:$H$8</definedName>
    <definedName name="GRUPOS_ETNICOS" localSheetId="4">[1]Variables!$H$1:$H$8</definedName>
    <definedName name="GRUPOS_ETNICOS" localSheetId="3">[2]Variables!$H$1:$H$8</definedName>
    <definedName name="GRUPOS_ETNICOS">[3]Variables!$H$1:$H$8</definedName>
    <definedName name="LOCALIDAD" localSheetId="5">#REF!</definedName>
    <definedName name="LOCALIDAD" localSheetId="4">#REF!</definedName>
    <definedName name="LOCALIDAD" localSheetId="3">#REF!</definedName>
    <definedName name="LOCALIDAD">#REF!</definedName>
    <definedName name="LOCALIZACION" localSheetId="5">#REF!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 l="1"/>
  <c r="G11" i="6"/>
  <c r="Z27" i="30"/>
  <c r="M27" i="30"/>
  <c r="Z26" i="30"/>
  <c r="M26" i="30"/>
  <c r="AE25" i="30"/>
  <c r="Z25" i="30"/>
  <c r="R25" i="30"/>
  <c r="M25" i="30"/>
  <c r="AE24" i="30"/>
  <c r="Z24" i="30"/>
  <c r="R24" i="30"/>
  <c r="M24" i="30"/>
  <c r="AE23" i="30"/>
  <c r="Z23" i="30"/>
  <c r="R23" i="30"/>
  <c r="M23" i="30"/>
  <c r="AE22" i="30"/>
  <c r="Z22" i="30"/>
  <c r="R22" i="30"/>
  <c r="M22" i="30"/>
  <c r="Z21" i="30"/>
  <c r="M21" i="30"/>
  <c r="Z20" i="30"/>
  <c r="M20" i="30"/>
  <c r="AE19" i="30"/>
  <c r="Z19" i="30"/>
  <c r="R19" i="30"/>
  <c r="M19" i="30"/>
  <c r="AE18" i="30"/>
  <c r="Z18" i="30"/>
  <c r="R18" i="30"/>
  <c r="M18" i="30"/>
  <c r="AE17" i="30"/>
  <c r="Z17" i="30"/>
  <c r="R17" i="30"/>
  <c r="R21" i="30" s="1"/>
  <c r="M17" i="30"/>
  <c r="AE16" i="30"/>
  <c r="Z16" i="30"/>
  <c r="R16" i="30"/>
  <c r="M16" i="30"/>
  <c r="Z15" i="30"/>
  <c r="M15" i="30"/>
  <c r="Z14" i="30"/>
  <c r="M14" i="30"/>
  <c r="AE13" i="30"/>
  <c r="Z13" i="30"/>
  <c r="R13" i="30"/>
  <c r="M13" i="30"/>
  <c r="AE12" i="30"/>
  <c r="Z12" i="30"/>
  <c r="R12" i="30"/>
  <c r="M12" i="30"/>
  <c r="AE11" i="30"/>
  <c r="AE28" i="30" s="1"/>
  <c r="Z11" i="30"/>
  <c r="Z28" i="30" s="1"/>
  <c r="R11" i="30"/>
  <c r="M11" i="30"/>
  <c r="AK10" i="30"/>
  <c r="AE10" i="30"/>
  <c r="Z10" i="30"/>
  <c r="R10" i="30"/>
  <c r="M10" i="30"/>
  <c r="R14" i="30" l="1"/>
  <c r="Z29" i="30"/>
  <c r="R26" i="30"/>
  <c r="R20" i="30"/>
  <c r="R27" i="30"/>
  <c r="Z30" i="30"/>
  <c r="R29" i="30"/>
  <c r="Q29" i="30"/>
  <c r="AE15" i="30"/>
  <c r="AE21" i="30"/>
  <c r="AE27" i="30"/>
  <c r="Q28" i="30"/>
  <c r="AE29" i="30"/>
  <c r="AE14" i="30"/>
  <c r="AE20" i="30"/>
  <c r="AE26" i="30"/>
  <c r="R15" i="30"/>
  <c r="R28" i="30"/>
  <c r="Q30" i="30" l="1"/>
  <c r="R30" i="30"/>
  <c r="AE30" i="30"/>
  <c r="ET13" i="5" l="1"/>
  <c r="DL13" i="5"/>
  <c r="DM13" i="6"/>
  <c r="FA13" i="5"/>
  <c r="EZ13" i="5"/>
  <c r="DH25" i="6"/>
  <c r="DM19" i="6" l="1"/>
  <c r="DH32" i="6" l="1"/>
  <c r="DH31" i="6"/>
  <c r="DH33" i="6" s="1"/>
  <c r="DH30" i="6"/>
  <c r="DH15" i="6"/>
  <c r="DH29" i="6"/>
  <c r="DH22" i="6"/>
  <c r="DM26" i="6" l="1"/>
  <c r="DK28" i="6"/>
  <c r="DK27" i="6"/>
  <c r="DK26" i="6"/>
  <c r="DK25" i="6"/>
  <c r="DK24" i="6"/>
  <c r="DK21" i="6"/>
  <c r="DK20" i="6"/>
  <c r="DK19" i="6"/>
  <c r="DK18" i="6"/>
  <c r="DK17" i="6"/>
  <c r="DK14" i="6"/>
  <c r="DK13" i="6"/>
  <c r="DK12" i="6"/>
  <c r="DK10" i="6"/>
  <c r="DJ28" i="6"/>
  <c r="DJ26" i="6"/>
  <c r="DJ25" i="6"/>
  <c r="DJ24" i="6"/>
  <c r="DJ21" i="6"/>
  <c r="DJ20" i="6"/>
  <c r="DJ19" i="6"/>
  <c r="DJ18" i="6"/>
  <c r="DJ17" i="6"/>
  <c r="DJ13" i="6"/>
  <c r="DJ11" i="6"/>
  <c r="DJ10" i="6"/>
  <c r="DM13" i="5"/>
  <c r="EU13" i="5" s="1"/>
  <c r="ER10" i="6"/>
  <c r="ER28" i="6"/>
  <c r="ER27" i="6"/>
  <c r="ER25" i="6"/>
  <c r="ER21" i="6"/>
  <c r="ER20" i="6"/>
  <c r="ER18" i="6"/>
  <c r="ER14" i="6"/>
  <c r="ER13" i="6"/>
  <c r="ER11" i="6"/>
  <c r="ER12" i="6"/>
  <c r="ER17" i="6"/>
  <c r="ER19" i="6"/>
  <c r="ER24" i="6"/>
  <c r="ER26" i="6"/>
  <c r="DL11" i="6"/>
  <c r="DN15" i="6"/>
  <c r="DF32" i="6" l="1"/>
  <c r="DF31" i="6"/>
  <c r="DF30" i="6"/>
  <c r="DF29" i="6"/>
  <c r="DF23" i="6"/>
  <c r="DF22" i="6"/>
  <c r="DF16" i="6"/>
  <c r="DG12" i="6"/>
  <c r="DJ12" i="6" s="1"/>
  <c r="DF33" i="6" l="1"/>
  <c r="DJ14" i="6" l="1"/>
  <c r="DK13" i="5"/>
  <c r="ES10" i="6" l="1"/>
  <c r="DD32" i="6"/>
  <c r="DD31" i="6"/>
  <c r="DD30" i="6"/>
  <c r="DD29" i="6"/>
  <c r="CJ26" i="6"/>
  <c r="CJ19" i="6"/>
  <c r="U21" i="27"/>
  <c r="DD23" i="6"/>
  <c r="DD22" i="6"/>
  <c r="U13" i="27"/>
  <c r="DD16" i="6"/>
  <c r="DD15" i="6"/>
  <c r="DD33" i="6" l="1"/>
  <c r="DJ27" i="6"/>
  <c r="DB32" i="6" l="1"/>
  <c r="DB31" i="6"/>
  <c r="DB30" i="6"/>
  <c r="DB29" i="6"/>
  <c r="DB23" i="6"/>
  <c r="DB22" i="6"/>
  <c r="DB16" i="6"/>
  <c r="DA16" i="6"/>
  <c r="DB15" i="6"/>
  <c r="DB33" i="6" l="1"/>
  <c r="I202" i="21"/>
  <c r="I201" i="21"/>
  <c r="DO13" i="5" l="1"/>
  <c r="DN13" i="5"/>
  <c r="EV13" i="5" l="1"/>
  <c r="CZ32" i="6"/>
  <c r="CZ31" i="6"/>
  <c r="CZ33" i="6" s="1"/>
  <c r="CZ30" i="6"/>
  <c r="CZ29" i="6"/>
  <c r="CZ22" i="6"/>
  <c r="CZ15" i="6"/>
  <c r="AA25" i="6" l="1"/>
  <c r="AT25" i="6"/>
  <c r="AV25" i="6" s="1"/>
  <c r="CI25" i="6"/>
  <c r="DL25" i="6"/>
  <c r="DL14" i="6"/>
  <c r="DL21" i="6"/>
  <c r="DL28" i="6"/>
  <c r="DM14" i="6"/>
  <c r="DM21" i="6"/>
  <c r="DK30" i="6"/>
  <c r="DM28" i="6"/>
  <c r="DM18" i="6"/>
  <c r="DM25" i="6"/>
  <c r="CL29" i="6"/>
  <c r="CN29" i="6"/>
  <c r="CP29" i="6"/>
  <c r="CR29" i="6"/>
  <c r="CT29" i="6"/>
  <c r="CV29" i="6"/>
  <c r="CX29" i="6"/>
  <c r="CK29" i="6"/>
  <c r="CM29" i="6"/>
  <c r="CO29" i="6"/>
  <c r="CQ29" i="6"/>
  <c r="CS29" i="6"/>
  <c r="CU29" i="6"/>
  <c r="CW29" i="6"/>
  <c r="CY29" i="6"/>
  <c r="DA29" i="6"/>
  <c r="DC29" i="6"/>
  <c r="DE29" i="6"/>
  <c r="ER29" i="6" s="1"/>
  <c r="DG29" i="6"/>
  <c r="DM27" i="6"/>
  <c r="DL27" i="6"/>
  <c r="K202" i="21" s="1"/>
  <c r="DL24" i="6"/>
  <c r="CL22" i="6"/>
  <c r="CN22" i="6"/>
  <c r="CP22" i="6"/>
  <c r="CR22" i="6"/>
  <c r="CT22" i="6"/>
  <c r="CV22" i="6"/>
  <c r="CX22" i="6"/>
  <c r="CK22" i="6"/>
  <c r="CM22" i="6"/>
  <c r="CO22" i="6"/>
  <c r="CQ22" i="6"/>
  <c r="CS22" i="6"/>
  <c r="CU22" i="6"/>
  <c r="CW22" i="6"/>
  <c r="CY22" i="6"/>
  <c r="DA22" i="6"/>
  <c r="DC22" i="6"/>
  <c r="DE22" i="6"/>
  <c r="ER22" i="6" s="1"/>
  <c r="DG22" i="6"/>
  <c r="DM20" i="6"/>
  <c r="DL20" i="6"/>
  <c r="DL17" i="6"/>
  <c r="H201" i="21" s="1"/>
  <c r="CL15" i="6"/>
  <c r="CN15" i="6"/>
  <c r="CP15" i="6"/>
  <c r="CR15" i="6"/>
  <c r="CT15" i="6"/>
  <c r="CV15" i="6"/>
  <c r="CX15" i="6"/>
  <c r="DM10" i="6"/>
  <c r="CK15" i="6"/>
  <c r="CM15" i="6"/>
  <c r="CO15" i="6"/>
  <c r="CQ15" i="6"/>
  <c r="CS15" i="6"/>
  <c r="CU15" i="6"/>
  <c r="CW15" i="6"/>
  <c r="CY15" i="6"/>
  <c r="DA15" i="6"/>
  <c r="DC15" i="6"/>
  <c r="DE15" i="6"/>
  <c r="DG15" i="6"/>
  <c r="DL13" i="6"/>
  <c r="DL10" i="6"/>
  <c r="H200" i="21" s="1"/>
  <c r="CX30" i="6"/>
  <c r="CX23" i="6"/>
  <c r="CX16" i="6"/>
  <c r="CX32" i="6"/>
  <c r="CX31" i="6"/>
  <c r="P23" i="27"/>
  <c r="Q22" i="27" s="1"/>
  <c r="P22" i="27"/>
  <c r="O21" i="27"/>
  <c r="N21" i="27"/>
  <c r="M21" i="27"/>
  <c r="L21" i="27"/>
  <c r="K21" i="27"/>
  <c r="J21" i="27"/>
  <c r="I21" i="27"/>
  <c r="H21" i="27"/>
  <c r="G21" i="27"/>
  <c r="F21" i="27"/>
  <c r="E21" i="27"/>
  <c r="D21" i="27"/>
  <c r="P20" i="27"/>
  <c r="Q19" i="27" s="1"/>
  <c r="P19" i="27"/>
  <c r="O18" i="27"/>
  <c r="N18" i="27"/>
  <c r="M18" i="27"/>
  <c r="L18" i="27"/>
  <c r="K18" i="27"/>
  <c r="J18" i="27"/>
  <c r="I18" i="27"/>
  <c r="H18" i="27"/>
  <c r="G18" i="27"/>
  <c r="F18" i="27"/>
  <c r="E18" i="27"/>
  <c r="D18" i="27"/>
  <c r="P16" i="27"/>
  <c r="Q15" i="27" s="1"/>
  <c r="P15" i="27"/>
  <c r="O14" i="27"/>
  <c r="N14" i="27"/>
  <c r="M14" i="27"/>
  <c r="L14" i="27"/>
  <c r="K14" i="27"/>
  <c r="J14" i="27"/>
  <c r="I14" i="27"/>
  <c r="H14" i="27"/>
  <c r="G14" i="27"/>
  <c r="F14" i="27"/>
  <c r="E14" i="27"/>
  <c r="D14" i="27"/>
  <c r="P13" i="27"/>
  <c r="Q12" i="27" s="1"/>
  <c r="P12" i="27"/>
  <c r="O11" i="27"/>
  <c r="N11" i="27"/>
  <c r="M11" i="27"/>
  <c r="L11" i="27"/>
  <c r="K11" i="27"/>
  <c r="J11" i="27"/>
  <c r="I11" i="27"/>
  <c r="H11" i="27"/>
  <c r="H8" i="27"/>
  <c r="G11" i="27"/>
  <c r="F11" i="27"/>
  <c r="E11" i="27"/>
  <c r="D11" i="27"/>
  <c r="P10" i="27"/>
  <c r="Q9" i="27" s="1"/>
  <c r="P9" i="27"/>
  <c r="T8" i="27"/>
  <c r="O8" i="27"/>
  <c r="N8" i="27"/>
  <c r="M8" i="27"/>
  <c r="L8" i="27"/>
  <c r="K8" i="27"/>
  <c r="J8" i="27"/>
  <c r="I8" i="27"/>
  <c r="G8" i="27"/>
  <c r="F8" i="27"/>
  <c r="E8" i="27"/>
  <c r="D8" i="27"/>
  <c r="G6" i="27"/>
  <c r="P6" i="27" s="1"/>
  <c r="P5" i="27"/>
  <c r="P3" i="27"/>
  <c r="ES18" i="6"/>
  <c r="ES25" i="6"/>
  <c r="ES14" i="6"/>
  <c r="ES17" i="6"/>
  <c r="ES21" i="6"/>
  <c r="ES24" i="6"/>
  <c r="ES26" i="6"/>
  <c r="ES28" i="6"/>
  <c r="DN30" i="6"/>
  <c r="ES20" i="6"/>
  <c r="ES13" i="6"/>
  <c r="ES27" i="6"/>
  <c r="ES19" i="6"/>
  <c r="CV31" i="6"/>
  <c r="CV32" i="6"/>
  <c r="CV30" i="6"/>
  <c r="CV23" i="6"/>
  <c r="CV16" i="6"/>
  <c r="N202" i="21"/>
  <c r="N201" i="21"/>
  <c r="N200" i="21"/>
  <c r="DN22" i="6"/>
  <c r="DI21" i="6"/>
  <c r="DI20" i="6"/>
  <c r="DI19" i="6"/>
  <c r="DI18" i="6"/>
  <c r="DI17" i="6"/>
  <c r="I200" i="21"/>
  <c r="DI10" i="6"/>
  <c r="CT31" i="6"/>
  <c r="CT32" i="6"/>
  <c r="CT30" i="6"/>
  <c r="CT23" i="6"/>
  <c r="CT16" i="6"/>
  <c r="F343" i="21"/>
  <c r="F344" i="21"/>
  <c r="H31" i="6"/>
  <c r="I31" i="6"/>
  <c r="J31" i="6"/>
  <c r="K31" i="6"/>
  <c r="L31" i="6"/>
  <c r="M31" i="6"/>
  <c r="M32" i="6"/>
  <c r="N31" i="6"/>
  <c r="O31" i="6"/>
  <c r="P31" i="6"/>
  <c r="Q31" i="6"/>
  <c r="R31" i="6"/>
  <c r="S31" i="6"/>
  <c r="T31" i="6"/>
  <c r="U31" i="6"/>
  <c r="V31" i="6"/>
  <c r="AB31" i="6"/>
  <c r="AC31" i="6"/>
  <c r="AD31" i="6"/>
  <c r="AE31" i="6"/>
  <c r="AF31" i="6"/>
  <c r="AH31" i="6"/>
  <c r="AJ31" i="6"/>
  <c r="AN31" i="6"/>
  <c r="AP31" i="6"/>
  <c r="AQ31" i="6"/>
  <c r="AR31" i="6"/>
  <c r="AU31" i="6"/>
  <c r="AY31" i="6"/>
  <c r="BF31" i="6"/>
  <c r="BG31" i="6"/>
  <c r="BH31" i="6"/>
  <c r="BI31" i="6"/>
  <c r="BJ31" i="6"/>
  <c r="BK31" i="6"/>
  <c r="BL31" i="6"/>
  <c r="BM31" i="6"/>
  <c r="BN31" i="6"/>
  <c r="BO31" i="6"/>
  <c r="BP31" i="6"/>
  <c r="BQ31" i="6"/>
  <c r="BR31" i="6"/>
  <c r="BS31" i="6"/>
  <c r="BT31" i="6"/>
  <c r="BU31" i="6"/>
  <c r="BV31" i="6"/>
  <c r="BY31" i="6"/>
  <c r="BZ31" i="6"/>
  <c r="CB31" i="6"/>
  <c r="CD31" i="6"/>
  <c r="CJ31" i="6"/>
  <c r="CK31" i="6"/>
  <c r="CL31" i="6"/>
  <c r="CM31" i="6"/>
  <c r="CN31" i="6"/>
  <c r="CO31" i="6"/>
  <c r="CP31" i="6"/>
  <c r="CQ31" i="6"/>
  <c r="CR31" i="6"/>
  <c r="CS31" i="6"/>
  <c r="CU31" i="6"/>
  <c r="CW31" i="6"/>
  <c r="CY31" i="6"/>
  <c r="DA31" i="6"/>
  <c r="DC31" i="6"/>
  <c r="DG31" i="6"/>
  <c r="DN31" i="6"/>
  <c r="H32" i="6"/>
  <c r="I32" i="6"/>
  <c r="J32" i="6"/>
  <c r="K32" i="6"/>
  <c r="L32" i="6"/>
  <c r="N32" i="6"/>
  <c r="O32" i="6"/>
  <c r="P32" i="6"/>
  <c r="Q32" i="6"/>
  <c r="R32" i="6"/>
  <c r="S32" i="6"/>
  <c r="T32" i="6"/>
  <c r="U32" i="6"/>
  <c r="V32" i="6"/>
  <c r="AB32" i="6"/>
  <c r="AC32" i="6"/>
  <c r="AD32" i="6"/>
  <c r="AF32" i="6"/>
  <c r="AH32" i="6"/>
  <c r="AJ32" i="6"/>
  <c r="AK32" i="6"/>
  <c r="AM32" i="6"/>
  <c r="AO32" i="6"/>
  <c r="AS32" i="6"/>
  <c r="AT32" i="6"/>
  <c r="AU32" i="6"/>
  <c r="AW32" i="6"/>
  <c r="AX32" i="6"/>
  <c r="AY32" i="6"/>
  <c r="AZ32" i="6"/>
  <c r="BF32" i="6"/>
  <c r="BG32" i="6"/>
  <c r="BH32" i="6"/>
  <c r="BI32" i="6"/>
  <c r="BK32" i="6"/>
  <c r="BM32" i="6"/>
  <c r="BO32" i="6"/>
  <c r="BQ32" i="6"/>
  <c r="BR32" i="6"/>
  <c r="BS32" i="6"/>
  <c r="BT32" i="6"/>
  <c r="BU32" i="6"/>
  <c r="BV32" i="6"/>
  <c r="BW32" i="6"/>
  <c r="BX32" i="6"/>
  <c r="BY32" i="6"/>
  <c r="BZ32" i="6"/>
  <c r="CA32" i="6"/>
  <c r="CB32" i="6"/>
  <c r="CC32" i="6"/>
  <c r="CD32" i="6"/>
  <c r="CK32" i="6"/>
  <c r="CL32" i="6"/>
  <c r="CM32" i="6"/>
  <c r="CN32" i="6"/>
  <c r="CO32" i="6"/>
  <c r="CP32" i="6"/>
  <c r="CQ32" i="6"/>
  <c r="CR32" i="6"/>
  <c r="CS32" i="6"/>
  <c r="CU32" i="6"/>
  <c r="CW32" i="6"/>
  <c r="CY32" i="6"/>
  <c r="DA32" i="6"/>
  <c r="DC32" i="6"/>
  <c r="DE32" i="6"/>
  <c r="DG32" i="6"/>
  <c r="DN32"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Y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U30" i="6"/>
  <c r="CW30" i="6"/>
  <c r="CY30" i="6"/>
  <c r="DA30" i="6"/>
  <c r="DC30" i="6"/>
  <c r="DE30" i="6"/>
  <c r="ER30" i="6" s="1"/>
  <c r="DG30" i="6"/>
  <c r="H16" i="6"/>
  <c r="I16" i="6"/>
  <c r="J16" i="6"/>
  <c r="K16" i="6"/>
  <c r="L16" i="6"/>
  <c r="M16" i="6"/>
  <c r="N16" i="6"/>
  <c r="O16" i="6"/>
  <c r="P16" i="6"/>
  <c r="Q16" i="6"/>
  <c r="R16" i="6"/>
  <c r="S16" i="6"/>
  <c r="T16" i="6"/>
  <c r="U16" i="6"/>
  <c r="V16" i="6"/>
  <c r="AB16" i="6"/>
  <c r="AC16" i="6"/>
  <c r="AD16" i="6"/>
  <c r="AE16" i="6"/>
  <c r="AF16" i="6"/>
  <c r="AH16" i="6"/>
  <c r="AJ16" i="6"/>
  <c r="AU16" i="6"/>
  <c r="AY16" i="6"/>
  <c r="BF16" i="6"/>
  <c r="BG16" i="6"/>
  <c r="BH16" i="6"/>
  <c r="BI16" i="6"/>
  <c r="BK16" i="6"/>
  <c r="BM16" i="6"/>
  <c r="BO16" i="6"/>
  <c r="BQ16" i="6"/>
  <c r="BR16" i="6"/>
  <c r="BS16" i="6"/>
  <c r="BT16" i="6"/>
  <c r="BU16" i="6"/>
  <c r="BV16" i="6"/>
  <c r="BY16" i="6"/>
  <c r="BZ16" i="6"/>
  <c r="CB16" i="6"/>
  <c r="CD16" i="6"/>
  <c r="CJ16" i="6"/>
  <c r="CK16" i="6"/>
  <c r="CL16" i="6"/>
  <c r="CM16" i="6"/>
  <c r="CN16" i="6"/>
  <c r="CO16" i="6"/>
  <c r="CP16" i="6"/>
  <c r="CQ16" i="6"/>
  <c r="CR16" i="6"/>
  <c r="CS16" i="6"/>
  <c r="CU16" i="6"/>
  <c r="CW16" i="6"/>
  <c r="CY16" i="6"/>
  <c r="DC16" i="6"/>
  <c r="DG16" i="6"/>
  <c r="DN16" i="6"/>
  <c r="DN23" i="6"/>
  <c r="H23"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K23" i="6"/>
  <c r="CL23" i="6"/>
  <c r="CM23" i="6"/>
  <c r="CN23" i="6"/>
  <c r="CO23" i="6"/>
  <c r="CP23" i="6"/>
  <c r="CQ23" i="6"/>
  <c r="CR23" i="6"/>
  <c r="CS23" i="6"/>
  <c r="CU23" i="6"/>
  <c r="CW23" i="6"/>
  <c r="CY23" i="6"/>
  <c r="DA23" i="6"/>
  <c r="DC23" i="6"/>
  <c r="DE23" i="6"/>
  <c r="ER23" i="6" s="1"/>
  <c r="DG23" i="6"/>
  <c r="S24" i="7"/>
  <c r="S23" i="7"/>
  <c r="S22" i="7"/>
  <c r="S21" i="7"/>
  <c r="S20" i="7"/>
  <c r="S19" i="7"/>
  <c r="S18" i="7"/>
  <c r="S17" i="7"/>
  <c r="S16" i="7"/>
  <c r="S15" i="7"/>
  <c r="S14" i="7"/>
  <c r="S13" i="7"/>
  <c r="S12" i="7"/>
  <c r="S11" i="7"/>
  <c r="S10" i="7"/>
  <c r="S9" i="7"/>
  <c r="G393" i="21"/>
  <c r="DJ23" i="6"/>
  <c r="DK23" i="6"/>
  <c r="DK32" i="6"/>
  <c r="DJ31" i="6"/>
  <c r="C59" i="21" s="1"/>
  <c r="D59" i="21" s="1"/>
  <c r="DJ16" i="6"/>
  <c r="DL26" i="6"/>
  <c r="AL12" i="6"/>
  <c r="AN12" i="6" s="1"/>
  <c r="AP12" i="6" s="1"/>
  <c r="AA12" i="6"/>
  <c r="BL12" i="6"/>
  <c r="BN12" i="6" s="1"/>
  <c r="DI24" i="6"/>
  <c r="DI13" i="6"/>
  <c r="DI14" i="6"/>
  <c r="F391" i="21"/>
  <c r="G391" i="21" s="1"/>
  <c r="U25" i="7"/>
  <c r="BG13" i="5"/>
  <c r="BF10" i="6"/>
  <c r="BF15" i="6" s="1"/>
  <c r="T9" i="7"/>
  <c r="T25" i="7" s="1"/>
  <c r="CJ13" i="6"/>
  <c r="CH13" i="5"/>
  <c r="CI13" i="5"/>
  <c r="CK13" i="5" s="1"/>
  <c r="DI28" i="6"/>
  <c r="DI27" i="6"/>
  <c r="DI26" i="6"/>
  <c r="DI25" i="6"/>
  <c r="DL19" i="6"/>
  <c r="CJ20" i="6"/>
  <c r="CJ21" i="6"/>
  <c r="CJ32" i="6" s="1"/>
  <c r="CJ27" i="6"/>
  <c r="CJ29" i="6" s="1"/>
  <c r="A49" i="21"/>
  <c r="A50" i="21"/>
  <c r="A51" i="21"/>
  <c r="A52" i="21"/>
  <c r="A53" i="21"/>
  <c r="A54" i="21"/>
  <c r="A55" i="21"/>
  <c r="A56" i="21"/>
  <c r="A57" i="21"/>
  <c r="A58" i="21"/>
  <c r="A59" i="21"/>
  <c r="A48" i="21"/>
  <c r="CA12" i="6"/>
  <c r="CA11" i="6"/>
  <c r="CC12" i="6"/>
  <c r="CF10" i="6"/>
  <c r="CF24" i="6"/>
  <c r="CC26" i="6"/>
  <c r="CE26" i="6" s="1"/>
  <c r="CF17" i="6"/>
  <c r="CC11" i="6"/>
  <c r="CF25" i="6"/>
  <c r="CE17" i="6"/>
  <c r="CG17" i="6"/>
  <c r="BW11" i="6"/>
  <c r="BW31" i="6" s="1"/>
  <c r="CA19" i="6"/>
  <c r="CA18" i="6"/>
  <c r="CH18" i="6" s="1"/>
  <c r="BX11" i="6"/>
  <c r="BX31" i="6" s="1"/>
  <c r="CI20" i="6"/>
  <c r="CI17" i="6"/>
  <c r="CI13" i="6"/>
  <c r="CH27" i="6"/>
  <c r="CH24" i="6"/>
  <c r="CH20" i="6"/>
  <c r="CH17" i="6"/>
  <c r="CH10" i="6"/>
  <c r="CG27" i="6"/>
  <c r="CG20" i="6"/>
  <c r="CG13" i="6"/>
  <c r="CF27" i="6"/>
  <c r="CF20" i="6"/>
  <c r="CF13" i="6"/>
  <c r="CE10" i="6"/>
  <c r="BQ19" i="6"/>
  <c r="BY19" i="6"/>
  <c r="BU19" i="6"/>
  <c r="CG13" i="5"/>
  <c r="CJ13" i="5" s="1"/>
  <c r="F39" i="21"/>
  <c r="G39" i="21" s="1"/>
  <c r="E39" i="21"/>
  <c r="C39" i="21"/>
  <c r="D39" i="21" s="1"/>
  <c r="CE20" i="6"/>
  <c r="CF14" i="6"/>
  <c r="N144" i="21"/>
  <c r="M144" i="21"/>
  <c r="I144" i="21"/>
  <c r="H144" i="21"/>
  <c r="N143" i="21"/>
  <c r="M143" i="21"/>
  <c r="I143" i="21"/>
  <c r="H143" i="21"/>
  <c r="N142" i="21"/>
  <c r="L142" i="21"/>
  <c r="K142" i="21"/>
  <c r="I142" i="21"/>
  <c r="H142" i="21"/>
  <c r="F38" i="21"/>
  <c r="G38" i="21" s="1"/>
  <c r="E38" i="21"/>
  <c r="C38" i="21"/>
  <c r="D38" i="21" s="1"/>
  <c r="BT22" i="6"/>
  <c r="CF28" i="6"/>
  <c r="BR29" i="6"/>
  <c r="BR22" i="6"/>
  <c r="BR15" i="6"/>
  <c r="BP24" i="6"/>
  <c r="BP29" i="6" s="1"/>
  <c r="F355" i="21"/>
  <c r="G355" i="21" s="1"/>
  <c r="F354" i="21"/>
  <c r="G354" i="21" s="1"/>
  <c r="F353" i="21"/>
  <c r="G353" i="21" s="1"/>
  <c r="F352" i="21"/>
  <c r="G352" i="21" s="1"/>
  <c r="F351" i="21"/>
  <c r="G351" i="21" s="1"/>
  <c r="G350" i="21"/>
  <c r="E219" i="21"/>
  <c r="E218" i="21"/>
  <c r="E217" i="21"/>
  <c r="M82" i="21"/>
  <c r="I82" i="21"/>
  <c r="J82" i="21" s="1"/>
  <c r="M81" i="21"/>
  <c r="I81" i="21"/>
  <c r="J81" i="21" s="1"/>
  <c r="M80" i="21"/>
  <c r="I80" i="21"/>
  <c r="J80" i="21" s="1"/>
  <c r="M79" i="21"/>
  <c r="J79" i="21"/>
  <c r="M78" i="21"/>
  <c r="J78" i="21"/>
  <c r="M77" i="21"/>
  <c r="J77" i="21"/>
  <c r="M76" i="21"/>
  <c r="J76" i="21"/>
  <c r="M75" i="21"/>
  <c r="J75" i="21"/>
  <c r="M74" i="21"/>
  <c r="J74" i="21"/>
  <c r="M73" i="21"/>
  <c r="J73" i="21"/>
  <c r="M72" i="21"/>
  <c r="J72" i="21"/>
  <c r="M71" i="21"/>
  <c r="J71" i="21"/>
  <c r="M70" i="21"/>
  <c r="J70" i="21"/>
  <c r="M69" i="21"/>
  <c r="J69" i="21"/>
  <c r="M68" i="21"/>
  <c r="J68" i="21"/>
  <c r="M67" i="21"/>
  <c r="M66" i="21"/>
  <c r="M65" i="21"/>
  <c r="E14" i="21"/>
  <c r="H14" i="21" s="1"/>
  <c r="D13" i="21"/>
  <c r="D14" i="21" s="1"/>
  <c r="C13" i="21"/>
  <c r="C14" i="21" s="1"/>
  <c r="E11" i="21"/>
  <c r="E12" i="21" s="1"/>
  <c r="E10" i="21"/>
  <c r="H10" i="21" s="1"/>
  <c r="H9" i="21"/>
  <c r="G380" i="21"/>
  <c r="G381" i="21"/>
  <c r="F382" i="21"/>
  <c r="F383" i="21" s="1"/>
  <c r="G379" i="21"/>
  <c r="G378" i="21"/>
  <c r="G377" i="21"/>
  <c r="F376" i="21"/>
  <c r="G376" i="21" s="1"/>
  <c r="G375" i="21"/>
  <c r="H127" i="21"/>
  <c r="I127" i="21"/>
  <c r="K127" i="21"/>
  <c r="L127" i="21"/>
  <c r="H128" i="21"/>
  <c r="I128" i="21"/>
  <c r="M128" i="21"/>
  <c r="H129" i="21"/>
  <c r="I129" i="21"/>
  <c r="M129" i="21"/>
  <c r="H130" i="21"/>
  <c r="I130" i="21"/>
  <c r="K130" i="21"/>
  <c r="L130" i="21"/>
  <c r="N130" i="21"/>
  <c r="H131" i="21"/>
  <c r="I131" i="21"/>
  <c r="M131" i="21"/>
  <c r="N131" i="21"/>
  <c r="H132" i="21"/>
  <c r="I132" i="21"/>
  <c r="M132" i="21"/>
  <c r="N132" i="21"/>
  <c r="F277" i="21"/>
  <c r="E277" i="21"/>
  <c r="F276" i="21"/>
  <c r="E276" i="21"/>
  <c r="F275" i="21"/>
  <c r="E275" i="21"/>
  <c r="N135" i="21"/>
  <c r="M135" i="21"/>
  <c r="I135" i="21"/>
  <c r="H135" i="21"/>
  <c r="N134" i="21"/>
  <c r="M134" i="21"/>
  <c r="I134" i="21"/>
  <c r="H134" i="21"/>
  <c r="N133" i="21"/>
  <c r="L133" i="21"/>
  <c r="K133" i="21"/>
  <c r="I133" i="21"/>
  <c r="H133" i="21"/>
  <c r="H33" i="21"/>
  <c r="F35" i="21"/>
  <c r="G35" i="21" s="1"/>
  <c r="CG28" i="6"/>
  <c r="BL10" i="6"/>
  <c r="CG10" i="6" s="1"/>
  <c r="F274" i="21"/>
  <c r="E274" i="21"/>
  <c r="F273" i="21"/>
  <c r="E273" i="21"/>
  <c r="F272" i="21"/>
  <c r="E272" i="21"/>
  <c r="F34" i="21"/>
  <c r="G34" i="21" s="1"/>
  <c r="E34" i="21"/>
  <c r="D34" i="21"/>
  <c r="C34" i="21"/>
  <c r="BL26" i="6"/>
  <c r="BN26" i="6" s="1"/>
  <c r="BP26" i="6" s="1"/>
  <c r="CG26" i="6" s="1"/>
  <c r="BL19" i="6"/>
  <c r="BN19" i="6" s="1"/>
  <c r="E271" i="21"/>
  <c r="E270" i="21"/>
  <c r="E269" i="21"/>
  <c r="BJ14" i="6"/>
  <c r="BL14" i="6" s="1"/>
  <c r="CE13" i="6"/>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H13" i="6"/>
  <c r="BH15" i="6"/>
  <c r="BI15" i="6"/>
  <c r="BJ15" i="6"/>
  <c r="BK15" i="6"/>
  <c r="BM15" i="6"/>
  <c r="BN15" i="6"/>
  <c r="BO15" i="6"/>
  <c r="BP15" i="6"/>
  <c r="BQ15" i="6"/>
  <c r="BS15" i="6"/>
  <c r="BT15" i="6"/>
  <c r="BU15" i="6"/>
  <c r="BV15" i="6"/>
  <c r="BW15" i="6"/>
  <c r="BX15" i="6"/>
  <c r="BY15" i="6"/>
  <c r="BZ15" i="6"/>
  <c r="CA15" i="6"/>
  <c r="CB15" i="6"/>
  <c r="CC15" i="6"/>
  <c r="CH14" i="6"/>
  <c r="CE14" i="6"/>
  <c r="BY12" i="6"/>
  <c r="CG25" i="6"/>
  <c r="CI28" i="6"/>
  <c r="CH28" i="6"/>
  <c r="CE28" i="6"/>
  <c r="CI27" i="6"/>
  <c r="CE27" i="6"/>
  <c r="CH25" i="6"/>
  <c r="CE25" i="6"/>
  <c r="E301" i="21" s="1"/>
  <c r="CE24" i="6"/>
  <c r="CI21" i="6"/>
  <c r="CH21" i="6"/>
  <c r="CG21" i="6"/>
  <c r="CF21" i="6"/>
  <c r="CE21" i="6"/>
  <c r="AZ10" i="6"/>
  <c r="BE10" i="6" s="1"/>
  <c r="BD13" i="5"/>
  <c r="BB24" i="6"/>
  <c r="BB17" i="6"/>
  <c r="BB10" i="6"/>
  <c r="AQ14" i="6"/>
  <c r="AY26" i="6"/>
  <c r="AY19" i="6"/>
  <c r="AW12" i="6"/>
  <c r="AW25" i="6"/>
  <c r="AW18" i="6"/>
  <c r="AW23" i="6" s="1"/>
  <c r="AW11" i="6"/>
  <c r="AW16" i="6" s="1"/>
  <c r="BC21" i="6"/>
  <c r="BE13" i="5"/>
  <c r="BC24" i="6"/>
  <c r="BC17" i="6"/>
  <c r="AT18" i="6"/>
  <c r="AV18" i="6" s="1"/>
  <c r="AY12" i="6"/>
  <c r="AS11" i="6"/>
  <c r="AS31" i="6" s="1"/>
  <c r="AL11" i="6"/>
  <c r="AT11" i="6" s="1"/>
  <c r="F367" i="21"/>
  <c r="F368" i="21" s="1"/>
  <c r="AR15" i="6"/>
  <c r="G366" i="21"/>
  <c r="BC27" i="6"/>
  <c r="BB27" i="6"/>
  <c r="BC20" i="6"/>
  <c r="BB20" i="6"/>
  <c r="BC13" i="6"/>
  <c r="BB13" i="6"/>
  <c r="AN28" i="6"/>
  <c r="BC28" i="6" s="1"/>
  <c r="AN26" i="6"/>
  <c r="AP26" i="6" s="1"/>
  <c r="AN19" i="6"/>
  <c r="AP19" i="6" s="1"/>
  <c r="G416" i="21"/>
  <c r="G415" i="21"/>
  <c r="G414" i="21"/>
  <c r="G413" i="21"/>
  <c r="G412" i="21"/>
  <c r="G411" i="21"/>
  <c r="G410" i="21"/>
  <c r="G409" i="21"/>
  <c r="G408" i="21"/>
  <c r="G407" i="21"/>
  <c r="G406" i="21"/>
  <c r="G405" i="21"/>
  <c r="G365" i="21"/>
  <c r="G364" i="21"/>
  <c r="G363" i="21"/>
  <c r="G362" i="21"/>
  <c r="F361" i="21"/>
  <c r="G361" i="21" s="1"/>
  <c r="G360" i="21"/>
  <c r="BE27" i="6"/>
  <c r="BE24" i="6"/>
  <c r="BE21" i="6"/>
  <c r="BE20" i="6"/>
  <c r="BE17" i="6"/>
  <c r="BE13" i="6"/>
  <c r="BD27" i="6"/>
  <c r="BD24" i="6"/>
  <c r="BD20" i="6"/>
  <c r="BD17" i="6"/>
  <c r="BD13" i="6"/>
  <c r="BD10" i="6"/>
  <c r="AZ22" i="6"/>
  <c r="BA27" i="6"/>
  <c r="AE28" i="6"/>
  <c r="AG28" i="6" s="1"/>
  <c r="AI28" i="6" s="1"/>
  <c r="AK26" i="6"/>
  <c r="AM26" i="6" s="1"/>
  <c r="BA20" i="6"/>
  <c r="AE21" i="6"/>
  <c r="AK19" i="6"/>
  <c r="BA13" i="6"/>
  <c r="AG14" i="6"/>
  <c r="AI14" i="6" s="1"/>
  <c r="AL14" i="6" s="1"/>
  <c r="AM11" i="6"/>
  <c r="AM31" i="6" s="1"/>
  <c r="AK11" i="6"/>
  <c r="AK31" i="6" s="1"/>
  <c r="AO11" i="6"/>
  <c r="AG25" i="6"/>
  <c r="AI25" i="6" s="1"/>
  <c r="AG18" i="6"/>
  <c r="AI18" i="6" s="1"/>
  <c r="AG11" i="6"/>
  <c r="DN29" i="6"/>
  <c r="BF29" i="6"/>
  <c r="BF22" i="6"/>
  <c r="BA24" i="6"/>
  <c r="AI12" i="6"/>
  <c r="BA17" i="6"/>
  <c r="BA10" i="6"/>
  <c r="BC13" i="5"/>
  <c r="BF13" i="5" s="1"/>
  <c r="AE15" i="6"/>
  <c r="AB15" i="6"/>
  <c r="W25" i="6"/>
  <c r="X25" i="6"/>
  <c r="X11" i="6"/>
  <c r="X18" i="6"/>
  <c r="Y25" i="6"/>
  <c r="Z25" i="6"/>
  <c r="W26" i="6"/>
  <c r="X26" i="6"/>
  <c r="Y26" i="6"/>
  <c r="Z26" i="6"/>
  <c r="AA26" i="6"/>
  <c r="W27" i="6"/>
  <c r="W24" i="6"/>
  <c r="X27" i="6"/>
  <c r="Y27" i="6"/>
  <c r="Z27" i="6"/>
  <c r="AA27" i="6"/>
  <c r="W28" i="6"/>
  <c r="X28" i="6"/>
  <c r="Y28" i="6"/>
  <c r="Z28" i="6"/>
  <c r="AA28" i="6"/>
  <c r="Y24" i="6"/>
  <c r="X24" i="6"/>
  <c r="W18" i="6"/>
  <c r="Y18" i="6"/>
  <c r="Y21" i="6"/>
  <c r="Z18" i="6"/>
  <c r="Z11" i="6"/>
  <c r="AA18" i="6"/>
  <c r="W19" i="6"/>
  <c r="X19" i="6"/>
  <c r="Y19" i="6"/>
  <c r="Z19" i="6"/>
  <c r="AA19" i="6"/>
  <c r="W20" i="6"/>
  <c r="X20" i="6"/>
  <c r="X17" i="6"/>
  <c r="Y20" i="6"/>
  <c r="Z20" i="6"/>
  <c r="AA20" i="6"/>
  <c r="W21" i="6"/>
  <c r="X21" i="6"/>
  <c r="Z21" i="6"/>
  <c r="AA21" i="6"/>
  <c r="AA17" i="6"/>
  <c r="Z17" i="6"/>
  <c r="Y17" i="6"/>
  <c r="W17" i="6"/>
  <c r="AA11" i="6"/>
  <c r="AA13" i="6"/>
  <c r="Z13" i="6"/>
  <c r="AA14" i="6"/>
  <c r="AA10" i="6"/>
  <c r="Z12" i="6"/>
  <c r="Z10" i="6"/>
  <c r="Z14" i="6"/>
  <c r="Y11" i="6"/>
  <c r="Y16" i="6" s="1"/>
  <c r="Y12" i="6"/>
  <c r="Y13" i="6"/>
  <c r="X12" i="6"/>
  <c r="X13" i="6"/>
  <c r="X14" i="6"/>
  <c r="W11" i="6"/>
  <c r="W14" i="6"/>
  <c r="W12" i="6"/>
  <c r="W13" i="6"/>
  <c r="Y10" i="6"/>
  <c r="Y15" i="6" s="1"/>
  <c r="X10" i="6"/>
  <c r="W10" i="6"/>
  <c r="DO32" i="6"/>
  <c r="DP32" i="6"/>
  <c r="DQ32" i="6"/>
  <c r="DR32" i="6"/>
  <c r="DS32" i="6"/>
  <c r="DT32" i="6"/>
  <c r="DU32" i="6"/>
  <c r="DV32" i="6"/>
  <c r="DW32" i="6"/>
  <c r="DX32" i="6"/>
  <c r="DY32" i="6"/>
  <c r="DZ32" i="6"/>
  <c r="EA32" i="6"/>
  <c r="EB32" i="6"/>
  <c r="EC32" i="6"/>
  <c r="ED32" i="6"/>
  <c r="EE32" i="6"/>
  <c r="EF32" i="6"/>
  <c r="EG32" i="6"/>
  <c r="EH32" i="6"/>
  <c r="EI32" i="6"/>
  <c r="EJ32" i="6"/>
  <c r="EK32" i="6"/>
  <c r="EL32" i="6"/>
  <c r="C35" i="21"/>
  <c r="DO31" i="6"/>
  <c r="DP31" i="6"/>
  <c r="DQ31" i="6"/>
  <c r="DR31" i="6"/>
  <c r="DS31" i="6"/>
  <c r="DT31" i="6"/>
  <c r="DU31" i="6"/>
  <c r="DV31" i="6"/>
  <c r="DW31" i="6"/>
  <c r="DX31" i="6"/>
  <c r="DY31" i="6"/>
  <c r="DZ31" i="6"/>
  <c r="EA31" i="6"/>
  <c r="EB31" i="6"/>
  <c r="EC31" i="6"/>
  <c r="ED31" i="6"/>
  <c r="EE31" i="6"/>
  <c r="EF31" i="6"/>
  <c r="EG31" i="6"/>
  <c r="EH31" i="6"/>
  <c r="EI31" i="6"/>
  <c r="EJ31" i="6"/>
  <c r="EK31" i="6"/>
  <c r="EL31"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DO29" i="6"/>
  <c r="DP29" i="6"/>
  <c r="DQ29" i="6"/>
  <c r="DR29" i="6"/>
  <c r="DS29" i="6"/>
  <c r="DT29" i="6"/>
  <c r="DU29" i="6"/>
  <c r="DV29" i="6"/>
  <c r="DW29" i="6"/>
  <c r="DX29" i="6"/>
  <c r="DY29" i="6"/>
  <c r="DZ29" i="6"/>
  <c r="EA29" i="6"/>
  <c r="EB29" i="6"/>
  <c r="EC29" i="6"/>
  <c r="ED29" i="6"/>
  <c r="EE29" i="6"/>
  <c r="EF29" i="6"/>
  <c r="EG29" i="6"/>
  <c r="EH29" i="6"/>
  <c r="EI29" i="6"/>
  <c r="EJ29" i="6"/>
  <c r="EK29" i="6"/>
  <c r="EL29"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U22" i="6"/>
  <c r="BV22" i="6"/>
  <c r="BW22" i="6"/>
  <c r="BX22" i="6"/>
  <c r="BY22" i="6"/>
  <c r="BZ22" i="6"/>
  <c r="CA22" i="6"/>
  <c r="CB22" i="6"/>
  <c r="CC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DO15" i="6"/>
  <c r="DP15" i="6"/>
  <c r="DQ15" i="6"/>
  <c r="DR15" i="6"/>
  <c r="DS15" i="6"/>
  <c r="DT15" i="6"/>
  <c r="DU15" i="6"/>
  <c r="DV15" i="6"/>
  <c r="DW15" i="6"/>
  <c r="DX15" i="6"/>
  <c r="DY15" i="6"/>
  <c r="DZ15" i="6"/>
  <c r="EA15" i="6"/>
  <c r="EB15" i="6"/>
  <c r="EC15" i="6"/>
  <c r="ED15" i="6"/>
  <c r="EE15" i="6"/>
  <c r="EF15" i="6"/>
  <c r="EG15" i="6"/>
  <c r="EH15" i="6"/>
  <c r="EI15" i="6"/>
  <c r="EJ15" i="6"/>
  <c r="EK15" i="6"/>
  <c r="EL15" i="6"/>
  <c r="AA13" i="5"/>
  <c r="AC13" i="5" s="1"/>
  <c r="Z13" i="5"/>
  <c r="V13" i="5"/>
  <c r="U13" i="5"/>
  <c r="EQ28" i="6"/>
  <c r="EP28" i="6"/>
  <c r="EO28" i="6"/>
  <c r="EN28" i="6"/>
  <c r="EM28" i="6"/>
  <c r="EP27" i="6"/>
  <c r="EO27" i="6"/>
  <c r="EN27" i="6"/>
  <c r="EM27" i="6"/>
  <c r="EQ26" i="6"/>
  <c r="EP26" i="6"/>
  <c r="EO26" i="6"/>
  <c r="EN26" i="6"/>
  <c r="EM26" i="6"/>
  <c r="EQ25" i="6"/>
  <c r="EP25" i="6"/>
  <c r="EO25" i="6"/>
  <c r="EN25" i="6"/>
  <c r="EM25" i="6"/>
  <c r="EQ24" i="6"/>
  <c r="EQ29" i="6" s="1"/>
  <c r="EP24" i="6"/>
  <c r="EO24" i="6"/>
  <c r="EN24" i="6"/>
  <c r="EM24"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EP10" i="6" s="1"/>
  <c r="CG18" i="6"/>
  <c r="CI18" i="6"/>
  <c r="C43" i="21"/>
  <c r="D43" i="21" s="1"/>
  <c r="AE23" i="6"/>
  <c r="G41" i="21"/>
  <c r="H41" i="21" s="1"/>
  <c r="D41" i="21"/>
  <c r="CE18" i="6"/>
  <c r="E300" i="21" s="1"/>
  <c r="DJ30" i="6"/>
  <c r="AG21" i="6"/>
  <c r="AG23" i="6" s="1"/>
  <c r="H11" i="21"/>
  <c r="P4" i="27"/>
  <c r="W16" i="6" l="1"/>
  <c r="X23" i="6"/>
  <c r="BC22" i="6"/>
  <c r="U4" i="27"/>
  <c r="U3" i="27"/>
  <c r="CF18" i="6"/>
  <c r="DK29" i="6"/>
  <c r="DJ29" i="6"/>
  <c r="CF26" i="6"/>
  <c r="AM16" i="6"/>
  <c r="DK22" i="6"/>
  <c r="CE15" i="6"/>
  <c r="DJ22" i="6"/>
  <c r="T33" i="6"/>
  <c r="ET10" i="6"/>
  <c r="DK15" i="6"/>
  <c r="CH26" i="6"/>
  <c r="CA23" i="6"/>
  <c r="U6" i="27"/>
  <c r="W6" i="27"/>
  <c r="W3" i="27"/>
  <c r="ER15" i="6"/>
  <c r="DJ15" i="6"/>
  <c r="W22" i="6"/>
  <c r="BW33" i="6"/>
  <c r="DL18" i="6"/>
  <c r="DL23" i="6" s="1"/>
  <c r="AE30" i="6"/>
  <c r="BX16" i="6"/>
  <c r="BF33" i="6"/>
  <c r="L201" i="21"/>
  <c r="CH22" i="6"/>
  <c r="BD15" i="6"/>
  <c r="CE30" i="6"/>
  <c r="ES23" i="6"/>
  <c r="ES30" i="6"/>
  <c r="Y29" i="6"/>
  <c r="EP23" i="6"/>
  <c r="CI24" i="6"/>
  <c r="CI29" i="6" s="1"/>
  <c r="CI30" i="6"/>
  <c r="CF23" i="6"/>
  <c r="J129" i="21"/>
  <c r="DM24" i="6"/>
  <c r="DM17" i="6"/>
  <c r="EN30" i="6"/>
  <c r="AE32" i="6"/>
  <c r="AE33" i="6" s="1"/>
  <c r="EN29" i="6"/>
  <c r="EP29" i="6"/>
  <c r="Y23" i="6"/>
  <c r="J130" i="21"/>
  <c r="X16" i="6"/>
  <c r="BW16" i="6"/>
  <c r="CG23" i="6"/>
  <c r="AL31" i="6"/>
  <c r="CG30" i="6"/>
  <c r="CW33" i="6"/>
  <c r="CM33" i="6"/>
  <c r="X32" i="6"/>
  <c r="EN15" i="6"/>
  <c r="EG33" i="6"/>
  <c r="DY33" i="6"/>
  <c r="DQ33" i="6"/>
  <c r="DR33" i="6"/>
  <c r="X30" i="6"/>
  <c r="BD29" i="6"/>
  <c r="DO33" i="6"/>
  <c r="BV33" i="6"/>
  <c r="AH33" i="6"/>
  <c r="K200" i="21"/>
  <c r="AV23" i="6"/>
  <c r="AX18" i="6"/>
  <c r="BC18" i="6" s="1"/>
  <c r="BC23" i="6" s="1"/>
  <c r="AT23" i="6"/>
  <c r="J133" i="21"/>
  <c r="CU33" i="6"/>
  <c r="CT33" i="6"/>
  <c r="D7" i="27"/>
  <c r="AT31" i="6"/>
  <c r="AT33" i="6" s="1"/>
  <c r="Y19" i="27"/>
  <c r="EO29" i="6"/>
  <c r="H202" i="21"/>
  <c r="J202" i="21" s="1"/>
  <c r="M142" i="21"/>
  <c r="BD21" i="6"/>
  <c r="ED33" i="6"/>
  <c r="G20" i="6"/>
  <c r="EV20" i="6" s="1"/>
  <c r="BD19" i="6"/>
  <c r="N33" i="6"/>
  <c r="BR33" i="6"/>
  <c r="I33" i="6"/>
  <c r="W12" i="27"/>
  <c r="BA21" i="6"/>
  <c r="EM29" i="6"/>
  <c r="EP30" i="6"/>
  <c r="CL33" i="6"/>
  <c r="AY33" i="6"/>
  <c r="L33" i="6"/>
  <c r="Q2" i="27"/>
  <c r="Q3" i="27" s="1"/>
  <c r="BB21" i="6"/>
  <c r="EI33" i="6"/>
  <c r="EA33" i="6"/>
  <c r="DS33" i="6"/>
  <c r="EN16" i="6"/>
  <c r="EH33" i="6"/>
  <c r="DZ33" i="6"/>
  <c r="W32" i="6"/>
  <c r="W30" i="6"/>
  <c r="X31" i="6"/>
  <c r="X33" i="6" s="1"/>
  <c r="CA31" i="6"/>
  <c r="CA33" i="6" s="1"/>
  <c r="EE33" i="6"/>
  <c r="DW33" i="6"/>
  <c r="DA33" i="6"/>
  <c r="CO33" i="6"/>
  <c r="BZ33" i="6"/>
  <c r="AE12" i="27"/>
  <c r="AA16" i="6"/>
  <c r="Z16" i="6"/>
  <c r="Y31" i="6"/>
  <c r="DC33" i="6"/>
  <c r="CP33" i="6"/>
  <c r="CB33" i="6"/>
  <c r="CV33" i="6"/>
  <c r="BB19" i="6"/>
  <c r="J7" i="27"/>
  <c r="AM33" i="6"/>
  <c r="AB13" i="5"/>
  <c r="EW13" i="5" s="1"/>
  <c r="AG31" i="6"/>
  <c r="BB15" i="6"/>
  <c r="CD33" i="6"/>
  <c r="V19" i="27"/>
  <c r="AA30" i="6"/>
  <c r="CQ33" i="6"/>
  <c r="BA19" i="6"/>
  <c r="EM22" i="6"/>
  <c r="Z19" i="27"/>
  <c r="AC33" i="6"/>
  <c r="P33" i="6"/>
  <c r="DN33" i="6"/>
  <c r="CS33" i="6"/>
  <c r="AU33" i="6"/>
  <c r="EP31" i="6"/>
  <c r="CR33" i="6"/>
  <c r="AD33" i="6"/>
  <c r="X12" i="27"/>
  <c r="F384" i="21"/>
  <c r="G383" i="21"/>
  <c r="W19" i="27"/>
  <c r="AS16" i="6"/>
  <c r="AN30" i="6"/>
  <c r="ET20" i="6"/>
  <c r="J135" i="21"/>
  <c r="J131" i="21"/>
  <c r="N7" i="27"/>
  <c r="X19" i="27"/>
  <c r="DM15" i="6"/>
  <c r="BE28" i="6"/>
  <c r="G28" i="6" s="1"/>
  <c r="W23" i="6"/>
  <c r="L202" i="21"/>
  <c r="M202" i="21" s="1"/>
  <c r="BA26" i="6"/>
  <c r="BB12" i="6"/>
  <c r="BB22" i="6"/>
  <c r="CG15" i="6"/>
  <c r="CF30" i="6"/>
  <c r="DI30" i="6"/>
  <c r="J200" i="21"/>
  <c r="P18" i="27"/>
  <c r="G382" i="21"/>
  <c r="BJ16" i="6"/>
  <c r="AA32" i="6"/>
  <c r="EN22" i="6"/>
  <c r="EQ23" i="6"/>
  <c r="EF33" i="6"/>
  <c r="DX33" i="6"/>
  <c r="DP33" i="6"/>
  <c r="W31" i="6"/>
  <c r="Z15" i="6"/>
  <c r="AK33" i="6"/>
  <c r="BB29" i="6"/>
  <c r="K201" i="21"/>
  <c r="CG24" i="6"/>
  <c r="CG29" i="6" s="1"/>
  <c r="BA29" i="6"/>
  <c r="G13" i="6"/>
  <c r="EV13" i="6" s="1"/>
  <c r="BX33" i="6"/>
  <c r="EK33" i="6"/>
  <c r="EC33" i="6"/>
  <c r="DU33" i="6"/>
  <c r="Z30" i="6"/>
  <c r="BE22" i="6"/>
  <c r="CH30" i="6"/>
  <c r="ET27" i="6"/>
  <c r="AA12" i="27"/>
  <c r="EO32" i="6"/>
  <c r="EJ33" i="6"/>
  <c r="DT33" i="6"/>
  <c r="Z32" i="6"/>
  <c r="Z23" i="6"/>
  <c r="Y30" i="6"/>
  <c r="W29" i="6"/>
  <c r="BA15" i="6"/>
  <c r="AG16" i="6"/>
  <c r="J134" i="21"/>
  <c r="M127" i="21"/>
  <c r="H7" i="27"/>
  <c r="EO23" i="6"/>
  <c r="BE15" i="6"/>
  <c r="CF32" i="6"/>
  <c r="CH15" i="6"/>
  <c r="BI33" i="6"/>
  <c r="AB33" i="6"/>
  <c r="H33" i="6"/>
  <c r="O7" i="27"/>
  <c r="K7" i="27"/>
  <c r="Z12" i="27"/>
  <c r="U19" i="27"/>
  <c r="CK33" i="6"/>
  <c r="P11" i="27"/>
  <c r="DI32" i="6"/>
  <c r="AS33" i="6"/>
  <c r="BE29" i="6"/>
  <c r="J33" i="6"/>
  <c r="AC12" i="27"/>
  <c r="AD12" i="27"/>
  <c r="CA16" i="6"/>
  <c r="EQ32" i="6"/>
  <c r="X29" i="6"/>
  <c r="DI29" i="6"/>
  <c r="CF11" i="6"/>
  <c r="CF16" i="6" s="1"/>
  <c r="EO30" i="6"/>
  <c r="EQ16" i="6"/>
  <c r="EO22" i="6"/>
  <c r="CH29" i="6"/>
  <c r="CE12" i="6"/>
  <c r="BT33" i="6"/>
  <c r="BH33" i="6"/>
  <c r="BU33" i="6"/>
  <c r="BM33" i="6"/>
  <c r="AF33" i="6"/>
  <c r="S33" i="6"/>
  <c r="BN14" i="6"/>
  <c r="BP14" i="6" s="1"/>
  <c r="CI14" i="6" s="1"/>
  <c r="BL16" i="6"/>
  <c r="AL32" i="6"/>
  <c r="AN14" i="6"/>
  <c r="AN16" i="6" s="1"/>
  <c r="BJ32" i="6"/>
  <c r="BJ33" i="6" s="1"/>
  <c r="Z31" i="6"/>
  <c r="AG32" i="6"/>
  <c r="EP16" i="6"/>
  <c r="AV11" i="6"/>
  <c r="AX11" i="6" s="1"/>
  <c r="AZ11" i="6" s="1"/>
  <c r="AZ16" i="6" s="1"/>
  <c r="AI11" i="6"/>
  <c r="AI31" i="6" s="1"/>
  <c r="BC10" i="6"/>
  <c r="BC15" i="6" s="1"/>
  <c r="EU20" i="6"/>
  <c r="AZ15" i="6"/>
  <c r="CE11" i="6"/>
  <c r="CE31" i="6" s="1"/>
  <c r="ET19" i="6"/>
  <c r="BQ33" i="6"/>
  <c r="V33" i="6"/>
  <c r="R33" i="6"/>
  <c r="DL30" i="6"/>
  <c r="EU13" i="6"/>
  <c r="Z22" i="6"/>
  <c r="Z24" i="6" s="1"/>
  <c r="Z29" i="6" s="1"/>
  <c r="Y22" i="6"/>
  <c r="CE32" i="6"/>
  <c r="G21" i="6"/>
  <c r="EV21" i="6" s="1"/>
  <c r="CH32" i="6"/>
  <c r="CH23" i="6"/>
  <c r="ET24" i="6"/>
  <c r="L200" i="21"/>
  <c r="DI23" i="6"/>
  <c r="ET21" i="6"/>
  <c r="BC29" i="6"/>
  <c r="AT16" i="6"/>
  <c r="Y32" i="6"/>
  <c r="EN23" i="6"/>
  <c r="AG30" i="6"/>
  <c r="EO31" i="6"/>
  <c r="EP15" i="6"/>
  <c r="EM16" i="6"/>
  <c r="EP22" i="6"/>
  <c r="EQ22" i="6"/>
  <c r="EQ30" i="6"/>
  <c r="EL33" i="6"/>
  <c r="DV33" i="6"/>
  <c r="W15" i="6"/>
  <c r="X15" i="6"/>
  <c r="AA15" i="6"/>
  <c r="AA22" i="6"/>
  <c r="AA24" i="6" s="1"/>
  <c r="X22" i="6"/>
  <c r="AT30" i="6"/>
  <c r="BD25" i="6"/>
  <c r="ET13" i="6"/>
  <c r="O33" i="6"/>
  <c r="CY33" i="6"/>
  <c r="CN33" i="6"/>
  <c r="BS33" i="6"/>
  <c r="BO33" i="6"/>
  <c r="BG33" i="6"/>
  <c r="AJ33" i="6"/>
  <c r="U33" i="6"/>
  <c r="Q33" i="6"/>
  <c r="M33" i="6"/>
  <c r="E343" i="21"/>
  <c r="J127" i="21"/>
  <c r="J144" i="21"/>
  <c r="M133" i="21"/>
  <c r="J142" i="21"/>
  <c r="H39" i="21"/>
  <c r="J132" i="21"/>
  <c r="M130" i="21"/>
  <c r="J128" i="21"/>
  <c r="H38" i="21"/>
  <c r="DM30" i="6"/>
  <c r="ET25" i="6"/>
  <c r="S19" i="27"/>
  <c r="G27" i="27" s="1"/>
  <c r="H27" i="27" s="1"/>
  <c r="ET14" i="6"/>
  <c r="P7" i="27"/>
  <c r="CJ15" i="6"/>
  <c r="J143" i="21"/>
  <c r="G368" i="21"/>
  <c r="F369" i="21"/>
  <c r="F370" i="21" s="1"/>
  <c r="G370" i="21" s="1"/>
  <c r="BB28" i="6"/>
  <c r="AI30" i="6"/>
  <c r="BD28" i="6"/>
  <c r="BA28" i="6"/>
  <c r="AR12" i="6"/>
  <c r="AT12" i="6" s="1"/>
  <c r="AV12" i="6" s="1"/>
  <c r="AX12" i="6" s="1"/>
  <c r="AZ12" i="6" s="1"/>
  <c r="AX25" i="6"/>
  <c r="AV30" i="6"/>
  <c r="AI23" i="6"/>
  <c r="BD18" i="6"/>
  <c r="BB18" i="6"/>
  <c r="BA18" i="6"/>
  <c r="EU21" i="6"/>
  <c r="EM15" i="6"/>
  <c r="EM31" i="6"/>
  <c r="EN32" i="6"/>
  <c r="EM30" i="6"/>
  <c r="CF22" i="6"/>
  <c r="EB33" i="6"/>
  <c r="H34" i="21"/>
  <c r="P8" i="27"/>
  <c r="AL16" i="6"/>
  <c r="EQ31" i="6"/>
  <c r="AK16" i="6"/>
  <c r="EP32" i="6"/>
  <c r="CI11" i="6"/>
  <c r="CI31" i="6" s="1"/>
  <c r="ET26" i="6"/>
  <c r="K33" i="6"/>
  <c r="E7" i="27"/>
  <c r="R9" i="27"/>
  <c r="Y12" i="27"/>
  <c r="R19" i="27"/>
  <c r="DL32" i="6"/>
  <c r="BB25" i="6"/>
  <c r="AN32" i="6"/>
  <c r="AN33" i="6" s="1"/>
  <c r="BD26" i="6"/>
  <c r="CI23" i="6"/>
  <c r="BA12" i="6"/>
  <c r="BB14" i="6"/>
  <c r="CE29" i="6"/>
  <c r="CF15" i="6"/>
  <c r="CF29" i="6"/>
  <c r="DG33" i="6"/>
  <c r="BK33" i="6"/>
  <c r="M7" i="27"/>
  <c r="CH11" i="6"/>
  <c r="CH31" i="6" s="1"/>
  <c r="G27" i="6"/>
  <c r="EV27" i="6" s="1"/>
  <c r="CH12" i="6"/>
  <c r="BY33" i="6"/>
  <c r="P14" i="27"/>
  <c r="CX33" i="6"/>
  <c r="ET28" i="6"/>
  <c r="AP14" i="6"/>
  <c r="CG11" i="6"/>
  <c r="CG31" i="6" s="1"/>
  <c r="E35" i="21" s="1"/>
  <c r="H35" i="21" s="1"/>
  <c r="BA25" i="6"/>
  <c r="CC16" i="6"/>
  <c r="EU27" i="6"/>
  <c r="CH19" i="6"/>
  <c r="CG22" i="6"/>
  <c r="CI22" i="6"/>
  <c r="CE22" i="6"/>
  <c r="V12" i="27"/>
  <c r="L7" i="27"/>
  <c r="BB26" i="6"/>
  <c r="G367" i="21"/>
  <c r="CC31" i="6"/>
  <c r="CC33" i="6" s="1"/>
  <c r="BA22" i="6"/>
  <c r="BD22" i="6"/>
  <c r="AW30" i="6"/>
  <c r="P21" i="27"/>
  <c r="DM29" i="6"/>
  <c r="DM32" i="6"/>
  <c r="AA31" i="6"/>
  <c r="U12" i="27"/>
  <c r="J201" i="21"/>
  <c r="DM23" i="6"/>
  <c r="E13" i="21"/>
  <c r="H13" i="21" s="1"/>
  <c r="H12" i="21"/>
  <c r="AR19" i="6"/>
  <c r="AT19" i="6" s="1"/>
  <c r="AV19" i="6" s="1"/>
  <c r="AX19" i="6" s="1"/>
  <c r="AZ19" i="6" s="1"/>
  <c r="BP12" i="6"/>
  <c r="CG12" i="6" s="1"/>
  <c r="CJ33" i="6"/>
  <c r="I13" i="5"/>
  <c r="EX13" i="5" s="1"/>
  <c r="CF12" i="6"/>
  <c r="CF19" i="6"/>
  <c r="EM23" i="6"/>
  <c r="AW31" i="6"/>
  <c r="AW33" i="6" s="1"/>
  <c r="CJ23" i="6"/>
  <c r="AQ32" i="6"/>
  <c r="AQ33" i="6" s="1"/>
  <c r="DJ32" i="6"/>
  <c r="DJ33" i="6" s="1"/>
  <c r="F7" i="27"/>
  <c r="I7" i="27"/>
  <c r="DM22" i="6"/>
  <c r="CE23" i="6"/>
  <c r="DI15" i="6"/>
  <c r="BL32" i="6"/>
  <c r="BL33" i="6" s="1"/>
  <c r="EO15" i="6"/>
  <c r="AR26" i="6"/>
  <c r="AT26" i="6" s="1"/>
  <c r="AV26" i="6" s="1"/>
  <c r="AX26" i="6" s="1"/>
  <c r="AZ26" i="6" s="1"/>
  <c r="BA14" i="6"/>
  <c r="BP19" i="6"/>
  <c r="CI19" i="6" s="1"/>
  <c r="F300" i="21" s="1"/>
  <c r="CE19" i="6"/>
  <c r="AO16" i="6"/>
  <c r="AQ16" i="6"/>
  <c r="DI22" i="6"/>
  <c r="E344" i="21"/>
  <c r="S9" i="27"/>
  <c r="G26" i="27" s="1"/>
  <c r="H26" i="27" s="1"/>
  <c r="DL15" i="6"/>
  <c r="CI26" i="6"/>
  <c r="F301" i="21" s="1"/>
  <c r="EO16" i="6"/>
  <c r="EM32" i="6"/>
  <c r="AA23" i="6"/>
  <c r="BL15" i="6"/>
  <c r="EU17" i="6"/>
  <c r="EN31" i="6"/>
  <c r="BD12" i="6"/>
  <c r="AI32" i="6"/>
  <c r="AO31" i="6"/>
  <c r="AO33" i="6" s="1"/>
  <c r="CI10" i="6"/>
  <c r="EU10" i="6" s="1"/>
  <c r="DL22" i="6"/>
  <c r="DL29" i="6"/>
  <c r="G7" i="27"/>
  <c r="BD14" i="6"/>
  <c r="AB12" i="27"/>
  <c r="G17" i="6"/>
  <c r="ET18" i="6" l="1"/>
  <c r="BE18" i="6"/>
  <c r="G18" i="6" s="1"/>
  <c r="G23" i="6" s="1"/>
  <c r="M201" i="21"/>
  <c r="AL33" i="6"/>
  <c r="ET17" i="6"/>
  <c r="ET30" i="6"/>
  <c r="ET23" i="6"/>
  <c r="M200" i="21"/>
  <c r="W33" i="6"/>
  <c r="BB11" i="6"/>
  <c r="BB16" i="6" s="1"/>
  <c r="AI33" i="6"/>
  <c r="BA11" i="6"/>
  <c r="BA31" i="6" s="1"/>
  <c r="BD11" i="6"/>
  <c r="BD16" i="6" s="1"/>
  <c r="AX23" i="6"/>
  <c r="BN32" i="6"/>
  <c r="BN33" i="6" s="1"/>
  <c r="Q5" i="27"/>
  <c r="R3" i="27" s="1"/>
  <c r="S3" i="27" s="1"/>
  <c r="G25" i="27" s="1"/>
  <c r="H25" i="27" s="1"/>
  <c r="H28" i="27" s="1"/>
  <c r="BN16" i="6"/>
  <c r="EO33" i="6"/>
  <c r="EQ33" i="6"/>
  <c r="AA33" i="6"/>
  <c r="BA23" i="6"/>
  <c r="BB23" i="6"/>
  <c r="BA32" i="6"/>
  <c r="BD23" i="6"/>
  <c r="Y33" i="6"/>
  <c r="Z33" i="6"/>
  <c r="G22" i="6"/>
  <c r="EV22" i="6" s="1"/>
  <c r="E299" i="21"/>
  <c r="AI16" i="6"/>
  <c r="CH33" i="6"/>
  <c r="AX31" i="6"/>
  <c r="AX33" i="6" s="1"/>
  <c r="AG33" i="6"/>
  <c r="CE16" i="6"/>
  <c r="EP33" i="6"/>
  <c r="CH16" i="6"/>
  <c r="EM33" i="6"/>
  <c r="AZ25" i="6"/>
  <c r="AZ30" i="6" s="1"/>
  <c r="ES22" i="6"/>
  <c r="AX30" i="6"/>
  <c r="EV28" i="6"/>
  <c r="BE19" i="6"/>
  <c r="EV19" i="6" s="1"/>
  <c r="CF31" i="6"/>
  <c r="CF33" i="6" s="1"/>
  <c r="AX16" i="6"/>
  <c r="BC11" i="6"/>
  <c r="BB32" i="6"/>
  <c r="ES29" i="6"/>
  <c r="AV31" i="6"/>
  <c r="EU28" i="6"/>
  <c r="F385" i="21"/>
  <c r="G384" i="21"/>
  <c r="F371" i="21"/>
  <c r="G371" i="21" s="1"/>
  <c r="G369" i="21"/>
  <c r="BA30" i="6"/>
  <c r="BC12" i="6"/>
  <c r="BE11" i="6"/>
  <c r="AF12" i="27"/>
  <c r="BD32" i="6"/>
  <c r="ET29" i="6"/>
  <c r="EU22" i="6"/>
  <c r="ES15" i="6"/>
  <c r="ET15" i="6"/>
  <c r="AP32" i="6"/>
  <c r="AP33" i="6" s="1"/>
  <c r="AP16" i="6"/>
  <c r="AR14" i="6"/>
  <c r="BC19" i="6"/>
  <c r="BD30" i="6"/>
  <c r="BB30" i="6"/>
  <c r="BE12" i="6"/>
  <c r="ET22" i="6"/>
  <c r="EN33" i="6"/>
  <c r="CG19" i="6"/>
  <c r="CE33" i="6"/>
  <c r="D35" i="21"/>
  <c r="CI32" i="6"/>
  <c r="CI33" i="6" s="1"/>
  <c r="CI16" i="6"/>
  <c r="G15" i="6"/>
  <c r="CI15" i="6"/>
  <c r="BP32" i="6"/>
  <c r="BP33" i="6" s="1"/>
  <c r="BP16" i="6"/>
  <c r="EV17" i="6"/>
  <c r="BE26" i="6"/>
  <c r="BE23" i="6"/>
  <c r="AA29" i="6"/>
  <c r="EU29" i="6" s="1"/>
  <c r="G24" i="6"/>
  <c r="G29" i="6" s="1"/>
  <c r="EU24" i="6"/>
  <c r="CI12" i="6"/>
  <c r="E43" i="21"/>
  <c r="BC26" i="6"/>
  <c r="CG14" i="6"/>
  <c r="BA33" i="6" l="1"/>
  <c r="BD31" i="6"/>
  <c r="BD33" i="6" s="1"/>
  <c r="EU18" i="6"/>
  <c r="EU23" i="6"/>
  <c r="BB31" i="6"/>
  <c r="BB33" i="6" s="1"/>
  <c r="BA16" i="6"/>
  <c r="EV10" i="6"/>
  <c r="EV29" i="6"/>
  <c r="BE25" i="6"/>
  <c r="G25" i="6" s="1"/>
  <c r="G30" i="6" s="1"/>
  <c r="EU19" i="6"/>
  <c r="AZ31" i="6"/>
  <c r="AZ33" i="6" s="1"/>
  <c r="G385" i="21"/>
  <c r="F386" i="21"/>
  <c r="G386" i="21" s="1"/>
  <c r="BC25" i="6"/>
  <c r="BC30" i="6" s="1"/>
  <c r="AR32" i="6"/>
  <c r="AR33" i="6" s="1"/>
  <c r="AV14" i="6"/>
  <c r="AR16" i="6"/>
  <c r="EV24" i="6"/>
  <c r="EV15" i="6"/>
  <c r="EU15" i="6"/>
  <c r="EV23" i="6"/>
  <c r="EV18" i="6"/>
  <c r="EU26" i="6"/>
  <c r="EV26" i="6"/>
  <c r="CG16" i="6"/>
  <c r="CG32" i="6"/>
  <c r="CG33" i="6" s="1"/>
  <c r="F299" i="21"/>
  <c r="F43" i="21"/>
  <c r="G43" i="21" s="1"/>
  <c r="H43" i="21" s="1"/>
  <c r="BE31" i="6" l="1"/>
  <c r="BE30" i="6"/>
  <c r="EV25" i="6"/>
  <c r="EU25" i="6"/>
  <c r="BC31" i="6"/>
  <c r="BE14" i="6"/>
  <c r="G14" i="6" s="1"/>
  <c r="G32" i="6" s="1"/>
  <c r="BC14" i="6"/>
  <c r="AV32" i="6"/>
  <c r="AV33" i="6" s="1"/>
  <c r="AV16" i="6"/>
  <c r="EU30" i="6" l="1"/>
  <c r="EV30" i="6"/>
  <c r="BC32" i="6"/>
  <c r="BC33" i="6" s="1"/>
  <c r="BC16" i="6"/>
  <c r="BE16" i="6"/>
  <c r="EV14" i="6"/>
  <c r="EU14" i="6"/>
  <c r="BE32" i="6"/>
  <c r="BE33" i="6" s="1"/>
  <c r="DE31" i="6"/>
  <c r="DE33" i="6" s="1"/>
  <c r="DE16" i="6"/>
  <c r="ER16" i="6" s="1"/>
  <c r="DI11" i="6"/>
  <c r="DI31" i="6" s="1"/>
  <c r="G31" i="6" l="1"/>
  <c r="G33" i="6" s="1"/>
  <c r="DL31" i="6"/>
  <c r="E342" i="21"/>
  <c r="DI33" i="6"/>
  <c r="DL16" i="6"/>
  <c r="DI16" i="6"/>
  <c r="G16" i="6" l="1"/>
  <c r="E59" i="21"/>
  <c r="DL33" i="6"/>
  <c r="CJ12" i="6" l="1"/>
  <c r="DL12" i="6"/>
  <c r="DI12" i="6"/>
  <c r="DM12" i="6" l="1"/>
  <c r="EV12" i="6" l="1"/>
  <c r="ET12" i="6"/>
  <c r="EU12" i="6"/>
  <c r="ES12" i="6"/>
  <c r="DM11" i="6" l="1"/>
  <c r="ET11" i="6" s="1"/>
  <c r="DK11" i="6"/>
  <c r="F342" i="21" s="1"/>
  <c r="ES11" i="6" l="1"/>
  <c r="DM16" i="6"/>
  <c r="DK31" i="6"/>
  <c r="DK33" i="6" s="1"/>
  <c r="EU11" i="6"/>
  <c r="DM31" i="6"/>
  <c r="EV11" i="6"/>
  <c r="DK16" i="6"/>
  <c r="EU16" i="6" l="1"/>
  <c r="ES16" i="6"/>
  <c r="F59" i="21"/>
  <c r="G59" i="21" s="1"/>
  <c r="H59" i="21" s="1"/>
  <c r="DM33" i="6"/>
  <c r="EV16" i="6"/>
  <c r="ET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19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1F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0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4000000}">
      <text>
        <r>
          <rPr>
            <b/>
            <sz val="9"/>
            <color indexed="81"/>
            <rFont val="Tahoma"/>
            <family val="2"/>
          </rPr>
          <t>YULIED.PENARANDA:</t>
        </r>
        <r>
          <rPr>
            <sz val="9"/>
            <color indexed="81"/>
            <rFont val="Tahoma"/>
            <family val="2"/>
          </rPr>
          <t xml:space="preserve">
Nos debe dar 100%</t>
        </r>
      </text>
    </comment>
    <comment ref="U25" authorId="0" shapeId="0" xr:uid="{00000000-0006-0000-0200-00003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3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300-000004000000}">
      <text>
        <r>
          <rPr>
            <b/>
            <sz val="9"/>
            <color indexed="81"/>
            <rFont val="Tahoma"/>
            <family val="2"/>
          </rPr>
          <t>YULIED.PENARANDA:</t>
        </r>
        <r>
          <rPr>
            <sz val="9"/>
            <color indexed="81"/>
            <rFont val="Tahoma"/>
            <family val="2"/>
          </rPr>
          <t xml:space="preserve">
Vigencia a reportar</t>
        </r>
      </text>
    </comment>
    <comment ref="C32" authorId="0" shapeId="0" xr:uid="{00000000-0006-0000-03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3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3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300-000008000000}">
      <text>
        <r>
          <rPr>
            <b/>
            <sz val="9"/>
            <color indexed="81"/>
            <rFont val="Tahoma"/>
            <family val="2"/>
          </rPr>
          <t>YULIED.PENARANDA:</t>
        </r>
        <r>
          <rPr>
            <sz val="9"/>
            <color indexed="81"/>
            <rFont val="Tahoma"/>
            <family val="2"/>
          </rPr>
          <t xml:space="preserve">
Corresponde al pago </t>
        </r>
      </text>
    </comment>
    <comment ref="G32" authorId="0" shapeId="0" xr:uid="{00000000-0006-0000-0300-000009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300-00000A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300-00000B000000}">
      <text>
        <r>
          <rPr>
            <b/>
            <sz val="9"/>
            <color indexed="81"/>
            <rFont val="Tahoma"/>
            <family val="2"/>
          </rPr>
          <t>YULIED.PENARANDA:</t>
        </r>
        <r>
          <rPr>
            <sz val="9"/>
            <color indexed="81"/>
            <rFont val="Tahoma"/>
            <family val="2"/>
          </rPr>
          <t xml:space="preserve">
Vigencia a reportar</t>
        </r>
      </text>
    </comment>
    <comment ref="C47" authorId="0" shapeId="0" xr:uid="{00000000-0006-0000-0300-00000C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3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3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300-00000F000000}">
      <text>
        <r>
          <rPr>
            <b/>
            <sz val="9"/>
            <color indexed="81"/>
            <rFont val="Tahoma"/>
            <family val="2"/>
          </rPr>
          <t>YULIED.PENARANDA:</t>
        </r>
        <r>
          <rPr>
            <sz val="9"/>
            <color indexed="81"/>
            <rFont val="Tahoma"/>
            <family val="2"/>
          </rPr>
          <t xml:space="preserve">
Corresponde al pago </t>
        </r>
      </text>
    </comment>
    <comment ref="G47" authorId="0" shapeId="0" xr:uid="{00000000-0006-0000-0300-000010000000}">
      <text>
        <r>
          <rPr>
            <b/>
            <sz val="9"/>
            <color indexed="81"/>
            <rFont val="Tahoma"/>
            <family val="2"/>
          </rPr>
          <t>YULIED.PENARANDA:</t>
        </r>
        <r>
          <rPr>
            <sz val="9"/>
            <color indexed="81"/>
            <rFont val="Tahoma"/>
            <family val="2"/>
          </rPr>
          <t xml:space="preserve">
Extinción de la obligación a cargo de la SDA.</t>
        </r>
      </text>
    </comment>
    <comment ref="A125" authorId="0" shapeId="0" xr:uid="{00000000-0006-0000-0300-00001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6" authorId="0" shapeId="0" xr:uid="{00000000-0006-0000-0300-000012000000}">
      <text>
        <r>
          <rPr>
            <b/>
            <sz val="9"/>
            <color indexed="81"/>
            <rFont val="Tahoma"/>
            <family val="2"/>
          </rPr>
          <t>YULIED.PENARANDA:</t>
        </r>
        <r>
          <rPr>
            <sz val="9"/>
            <color indexed="81"/>
            <rFont val="Tahoma"/>
            <family val="2"/>
          </rPr>
          <t xml:space="preserve">
Vigencia a reportar</t>
        </r>
      </text>
    </comment>
    <comment ref="B126" authorId="0" shapeId="0" xr:uid="{00000000-0006-0000-0300-00001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300-00001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300-00001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3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300-00001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300-00001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300-000019000000}">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0000000-0006-0000-0300-00001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00000000-0006-0000-0300-00001B000000}">
      <text>
        <r>
          <rPr>
            <b/>
            <sz val="9"/>
            <color indexed="81"/>
            <rFont val="Tahoma"/>
            <family val="2"/>
          </rPr>
          <t>YULIED.PENARANDA:</t>
        </r>
        <r>
          <rPr>
            <sz val="9"/>
            <color indexed="81"/>
            <rFont val="Tahoma"/>
            <family val="2"/>
          </rPr>
          <t xml:space="preserve">
Vigencia a reportar</t>
        </r>
      </text>
    </comment>
    <comment ref="B166" authorId="0" shapeId="0" xr:uid="{00000000-0006-0000-0300-00001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00000000-0006-0000-0300-00001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00000000-0006-0000-0300-00001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00000000-0006-0000-0300-00001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00000000-0006-0000-0300-00002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00000000-0006-0000-0300-00002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00000000-0006-0000-0300-000022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300-00002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7" authorId="0" shapeId="0" xr:uid="{00000000-0006-0000-0300-000024000000}">
      <text>
        <r>
          <rPr>
            <b/>
            <sz val="9"/>
            <color indexed="81"/>
            <rFont val="Tahoma"/>
            <family val="2"/>
          </rPr>
          <t>YULIED.PENARANDA:</t>
        </r>
        <r>
          <rPr>
            <sz val="9"/>
            <color indexed="81"/>
            <rFont val="Tahoma"/>
            <family val="2"/>
          </rPr>
          <t xml:space="preserve">
Vigencia a reportar</t>
        </r>
      </text>
    </comment>
    <comment ref="B207" authorId="0" shapeId="0" xr:uid="{00000000-0006-0000-0300-00002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300-00002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7" authorId="0" shapeId="0" xr:uid="{00000000-0006-0000-03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7" authorId="0" shapeId="0" xr:uid="{00000000-0006-0000-0300-000028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300-00002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300-00002A000000}">
      <text>
        <r>
          <rPr>
            <b/>
            <sz val="9"/>
            <color indexed="81"/>
            <rFont val="Tahoma"/>
            <family val="2"/>
          </rPr>
          <t>YULIED.PENARANDA:</t>
        </r>
        <r>
          <rPr>
            <sz val="9"/>
            <color indexed="81"/>
            <rFont val="Tahoma"/>
            <family val="2"/>
          </rPr>
          <t xml:space="preserve">
Vigencia a reportar</t>
        </r>
      </text>
    </comment>
    <comment ref="B228" authorId="0" shapeId="0" xr:uid="{00000000-0006-0000-0300-00002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300-00002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3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300-00002E000000}">
      <text>
        <r>
          <rPr>
            <b/>
            <sz val="9"/>
            <color indexed="81"/>
            <rFont val="Tahoma"/>
            <family val="2"/>
          </rPr>
          <t>YULIED.PENARANDA:</t>
        </r>
        <r>
          <rPr>
            <sz val="9"/>
            <color indexed="81"/>
            <rFont val="Tahoma"/>
            <family val="2"/>
          </rPr>
          <t xml:space="preserve">
Descripción concreta del avance, máximo de caracteres 200</t>
        </r>
      </text>
    </comment>
    <comment ref="A267" authorId="0" shapeId="0" xr:uid="{00000000-0006-0000-0300-00002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8" authorId="0" shapeId="0" xr:uid="{00000000-0006-0000-0300-000030000000}">
      <text>
        <r>
          <rPr>
            <b/>
            <sz val="9"/>
            <color indexed="81"/>
            <rFont val="Tahoma"/>
            <family val="2"/>
          </rPr>
          <t>YULIED.PENARANDA:</t>
        </r>
        <r>
          <rPr>
            <sz val="9"/>
            <color indexed="81"/>
            <rFont val="Tahoma"/>
            <family val="2"/>
          </rPr>
          <t xml:space="preserve">
Vigencia a reportar</t>
        </r>
      </text>
    </comment>
    <comment ref="B268" authorId="0" shapeId="0" xr:uid="{00000000-0006-0000-03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8" authorId="0" shapeId="0" xr:uid="{00000000-0006-0000-03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8" authorId="0" shapeId="0" xr:uid="{00000000-0006-0000-03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8" authorId="0" shapeId="0" xr:uid="{00000000-0006-0000-0300-000034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300-00003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300-000036000000}">
      <text>
        <r>
          <rPr>
            <b/>
            <sz val="9"/>
            <color indexed="81"/>
            <rFont val="Tahoma"/>
            <family val="2"/>
          </rPr>
          <t>YULIED.PENARANDA:</t>
        </r>
        <r>
          <rPr>
            <sz val="9"/>
            <color indexed="81"/>
            <rFont val="Tahoma"/>
            <family val="2"/>
          </rPr>
          <t xml:space="preserve">
Vigencia a reportar</t>
        </r>
      </text>
    </comment>
    <comment ref="B308" authorId="0" shapeId="0" xr:uid="{00000000-0006-0000-0300-00003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300-00003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300-00003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300-00003A000000}">
      <text>
        <r>
          <rPr>
            <b/>
            <sz val="9"/>
            <color indexed="81"/>
            <rFont val="Tahoma"/>
            <family val="2"/>
          </rPr>
          <t>YULIED.PENARANDA:</t>
        </r>
        <r>
          <rPr>
            <sz val="9"/>
            <color indexed="81"/>
            <rFont val="Tahoma"/>
            <family val="2"/>
          </rPr>
          <t xml:space="preserve">
Descripción concreta del avance, máximo de caracteres 200</t>
        </r>
      </text>
    </comment>
    <comment ref="A348" authorId="0" shapeId="0" xr:uid="{00000000-0006-0000-0300-00003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9" authorId="0" shapeId="0" xr:uid="{00000000-0006-0000-0300-00003C000000}">
      <text>
        <r>
          <rPr>
            <b/>
            <sz val="9"/>
            <color indexed="81"/>
            <rFont val="Tahoma"/>
            <family val="2"/>
          </rPr>
          <t>YULIED.PENARANDA:</t>
        </r>
        <r>
          <rPr>
            <sz val="9"/>
            <color indexed="81"/>
            <rFont val="Tahoma"/>
            <family val="2"/>
          </rPr>
          <t xml:space="preserve">
Vigencia a reportar</t>
        </r>
      </text>
    </comment>
    <comment ref="B349" authorId="0" shapeId="0" xr:uid="{00000000-0006-0000-0300-00003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9" authorId="0" shapeId="0" xr:uid="{00000000-0006-0000-0300-00003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9" authorId="0" shapeId="0" xr:uid="{00000000-0006-0000-0300-00003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9" authorId="0" shapeId="0" xr:uid="{00000000-0006-0000-0300-000040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300-00004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300-000042000000}">
      <text>
        <r>
          <rPr>
            <b/>
            <sz val="9"/>
            <color indexed="81"/>
            <rFont val="Tahoma"/>
            <family val="2"/>
          </rPr>
          <t>YULIED.PENARANDA:</t>
        </r>
        <r>
          <rPr>
            <sz val="9"/>
            <color indexed="81"/>
            <rFont val="Tahoma"/>
            <family val="2"/>
          </rPr>
          <t xml:space="preserve">
Vigencia a reportar</t>
        </r>
      </text>
    </comment>
    <comment ref="B359" authorId="0" shapeId="0" xr:uid="{00000000-0006-0000-0300-00004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300-00004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300-00004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300-000046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300-00004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300-000048000000}">
      <text>
        <r>
          <rPr>
            <b/>
            <sz val="9"/>
            <color indexed="81"/>
            <rFont val="Tahoma"/>
            <family val="2"/>
          </rPr>
          <t>YULIED.PENARANDA:</t>
        </r>
        <r>
          <rPr>
            <sz val="9"/>
            <color indexed="81"/>
            <rFont val="Tahoma"/>
            <family val="2"/>
          </rPr>
          <t xml:space="preserve">
Vigencia a reportar</t>
        </r>
      </text>
    </comment>
    <comment ref="B374" authorId="0" shapeId="0" xr:uid="{00000000-0006-0000-0300-00004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300-00004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300-00004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300-00004C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300-00004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9" authorId="0" shapeId="0" xr:uid="{00000000-0006-0000-0300-00004E000000}">
      <text>
        <r>
          <rPr>
            <b/>
            <sz val="9"/>
            <color indexed="81"/>
            <rFont val="Tahoma"/>
            <family val="2"/>
          </rPr>
          <t>YULIED.PENARANDA:</t>
        </r>
        <r>
          <rPr>
            <sz val="9"/>
            <color indexed="81"/>
            <rFont val="Tahoma"/>
            <family val="2"/>
          </rPr>
          <t xml:space="preserve">
Vigencia a reportar</t>
        </r>
      </text>
    </comment>
    <comment ref="B389" authorId="0" shapeId="0" xr:uid="{00000000-0006-0000-0300-00004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9" authorId="0" shapeId="0" xr:uid="{00000000-0006-0000-0300-00005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9" authorId="0" shapeId="0" xr:uid="{00000000-0006-0000-0300-00005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9" authorId="0" shapeId="0" xr:uid="{00000000-0006-0000-0300-000052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300-00005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300-000054000000}">
      <text>
        <r>
          <rPr>
            <b/>
            <sz val="9"/>
            <color indexed="81"/>
            <rFont val="Tahoma"/>
            <family val="2"/>
          </rPr>
          <t>YULIED.PENARANDA:</t>
        </r>
        <r>
          <rPr>
            <sz val="9"/>
            <color indexed="81"/>
            <rFont val="Tahoma"/>
            <family val="2"/>
          </rPr>
          <t xml:space="preserve">
Vigencia a reportar</t>
        </r>
      </text>
    </comment>
    <comment ref="B404" authorId="0" shapeId="0" xr:uid="{00000000-0006-0000-0300-00005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300-00005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300-00005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300-000058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<sst xmlns="http://schemas.openxmlformats.org/spreadsheetml/2006/main" count="2400" uniqueCount="539">
  <si>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</si>
  <si>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</si>
  <si>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</si>
  <si>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</si>
  <si>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</si>
  <si>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</si>
  <si>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</si>
  <si>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</si>
  <si>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</si>
  <si>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</si>
  <si>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</si>
  <si>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</si>
  <si>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</si>
  <si>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</si>
  <si>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</si>
  <si>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</si>
  <si>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</si>
  <si>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</si>
  <si>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</si>
  <si>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</si>
  <si>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</si>
  <si>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</si>
  <si>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</si>
  <si>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</si>
  <si>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</si>
  <si>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</si>
  <si>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</si>
  <si>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</si>
  <si>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</si>
  <si>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</si>
  <si>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</si>
  <si>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</si>
  <si>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</si>
  <si>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</si>
  <si>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</si>
  <si>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</si>
  <si>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</si>
  <si>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</si>
  <si>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</si>
  <si>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</si>
  <si>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</si>
  <si>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</si>
  <si>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</si>
  <si>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</si>
  <si>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</si>
  <si>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</si>
  <si>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</si>
  <si>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</si>
  <si>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</si>
  <si>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</si>
  <si>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</si>
  <si>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</si>
  <si>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</si>
  <si>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</si>
  <si>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</si>
  <si>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</si>
  <si>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</si>
  <si>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</si>
  <si>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</si>
  <si>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</si>
  <si>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</si>
  <si>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</si>
  <si>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</si>
  <si>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</si>
  <si>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</si>
  <si>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</si>
  <si>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</si>
  <si>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</si>
  <si>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</si>
  <si>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</si>
  <si>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</si>
  <si>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</si>
  <si>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</si>
  <si>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</si>
  <si>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</si>
  <si>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</si>
  <si>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</si>
  <si>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</si>
  <si>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</si>
  <si>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</si>
  <si>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</si>
  <si>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</si>
  <si>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</si>
  <si>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</si>
  <si>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</si>
  <si>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</si>
  <si>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</si>
  <si>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</si>
  <si>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</si>
  <si>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</si>
  <si>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</si>
  <si>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</si>
  <si>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</si>
  <si>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</si>
  <si>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</si>
  <si>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</si>
  <si>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</si>
  <si>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</si>
  <si>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</si>
  <si>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</si>
  <si>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</si>
  <si>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</si>
  <si>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</si>
  <si>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</si>
  <si>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</si>
  <si>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</si>
  <si>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</si>
  <si>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</si>
  <si>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</si>
  <si>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</si>
  <si>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</si>
  <si>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</si>
  <si>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</si>
  <si>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</si>
  <si>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</si>
  <si>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</si>
  <si>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</si>
  <si>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</si>
  <si>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</si>
  <si>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</si>
  <si>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</si>
  <si>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</si>
  <si>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</si>
  <si>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</si>
  <si>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</si>
  <si>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</si>
  <si>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</si>
  <si>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</si>
  <si>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</si>
  <si>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</si>
  <si>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</si>
  <si>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</si>
  <si>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</si>
  <si>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</si>
  <si>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</si>
  <si>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</si>
  <si>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</si>
  <si>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</si>
  <si>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</si>
  <si>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</si>
  <si>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</si>
  <si>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</si>
  <si>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</si>
  <si>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</si>
  <si>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</si>
  <si>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</si>
  <si>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</si>
  <si>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</si>
  <si>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</si>
  <si>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</si>
  <si>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</si>
  <si>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</si>
  <si>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</si>
  <si>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</si>
  <si>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</si>
  <si>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</si>
  <si>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</si>
  <si>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</si>
  <si>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</si>
  <si>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</si>
  <si>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</si>
  <si>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</si>
  <si>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</si>
  <si>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</si>
  <si>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</si>
  <si>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</si>
  <si>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</si>
  <si>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</si>
  <si>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</si>
  <si>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</si>
  <si>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</si>
  <si>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</si>
  <si>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</si>
  <si>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</si>
  <si>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</si>
  <si>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</si>
  <si>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</si>
  <si>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</si>
  <si>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</si>
  <si>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</si>
  <si>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</si>
  <si>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</si>
  <si>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</si>
  <si>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</si>
  <si>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</si>
  <si>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</si>
  <si>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</si>
  <si>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</si>
  <si>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</si>
  <si>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</si>
  <si>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</si>
  <si>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</si>
  <si>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</si>
  <si>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</si>
  <si>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</si>
  <si>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</si>
  <si>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</si>
  <si>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</si>
  <si>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</si>
  <si>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</si>
  <si>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</si>
  <si>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</si>
  <si>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</si>
  <si>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</si>
  <si>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</si>
  <si>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</si>
  <si>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</si>
  <si>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</si>
  <si>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</si>
  <si>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</si>
  <si>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</si>
  <si>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</si>
  <si>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</si>
  <si>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</si>
  <si>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</si>
  <si>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</si>
  <si>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</si>
  <si>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</si>
  <si>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</si>
  <si>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</si>
  <si>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</si>
  <si>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</si>
  <si>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</si>
  <si>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</si>
  <si>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</si>
  <si>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</si>
  <si>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</si>
  <si>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</si>
  <si>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</si>
  <si>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</si>
  <si>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</si>
  <si>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</si>
  <si>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</si>
  <si>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</si>
  <si>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</si>
  <si>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</si>
  <si>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</si>
  <si>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</si>
  <si>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</si>
  <si>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</si>
  <si>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</si>
  <si>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</si>
  <si>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</si>
  <si>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</si>
  <si>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</si>
  <si>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</si>
  <si>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</si>
  <si>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</si>
  <si>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</si>
  <si>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</si>
  <si>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</si>
  <si>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</si>
  <si>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</si>
  <si>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</si>
  <si>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</si>
  <si>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</si>
  <si>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</si>
  <si>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</si>
  <si>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</si>
  <si>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</si>
  <si>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</si>
  <si>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</si>
  <si>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</si>
  <si>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</si>
  <si>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</si>
  <si>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</si>
  <si>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</si>
  <si>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</si>
  <si>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</si>
  <si>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</si>
  <si>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</si>
  <si>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</si>
  <si>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</si>
  <si>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</si>
  <si>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</si>
  <si>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</si>
  <si>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</si>
  <si>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</si>
  <si>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</si>
  <si>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</si>
  <si>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</si>
  <si>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</si>
  <si>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</si>
  <si>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</si>
  <si>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</si>
  <si>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</si>
  <si>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</si>
  <si>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</si>
  <si>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</si>
  <si>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</si>
  <si>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</si>
  <si>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</si>
  <si>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</si>
  <si>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</si>
  <si>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</si>
  <si>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</si>
  <si>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</si>
  <si>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</si>
  <si>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</si>
  <si>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</si>
  <si>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</si>
  <si>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</si>
  <si>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</si>
  <si>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</si>
  <si>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</si>
  <si>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</si>
  <si>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</si>
  <si>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Entidad
1. Descripción:  MPI 3. Avanzar hacia el cumplimiento de los procedimientos y lineamientos técnico - jurídicos para el fortalecimiento del trámite sancionatorio en la SDA.</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</si>
  <si>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</si>
  <si>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</si>
  <si>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</si>
  <si>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</si>
  <si>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</si>
  <si>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</si>
  <si>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</si>
  <si>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</si>
  <si>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</si>
  <si>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</si>
  <si>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</si>
  <si>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</si>
  <si>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</si>
  <si>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</si>
  <si>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</si>
  <si>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</si>
  <si>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</si>
  <si>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</si>
  <si>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</si>
  <si>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</si>
  <si>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</si>
  <si>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</si>
  <si>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</si>
  <si>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</si>
  <si>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</si>
  <si>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</si>
  <si>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</si>
  <si>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</si>
  <si>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 xml:space="preserve">No se presento avance </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</si>
  <si>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</si>
  <si>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</si>
  <si>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</si>
  <si>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</si>
  <si>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</si>
  <si>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</si>
  <si>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</si>
  <si>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</si>
  <si>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</si>
  <si>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</si>
  <si>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</si>
  <si>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</si>
  <si>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</si>
  <si>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</si>
  <si>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</si>
  <si>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</si>
  <si>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</si>
  <si>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</si>
  <si>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</si>
  <si>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</si>
  <si>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</si>
  <si>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</si>
  <si>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</si>
  <si>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</si>
  <si>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</si>
  <si>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</si>
  <si>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</si>
  <si>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</si>
  <si>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</si>
  <si>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</si>
  <si>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</si>
  <si>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</si>
  <si>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</si>
  <si>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</si>
  <si>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</si>
  <si>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</si>
  <si>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</si>
  <si>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</si>
  <si>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</si>
  <si>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</si>
  <si>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</si>
  <si>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</si>
  <si>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</si>
  <si>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 xml:space="preserve">Durante el período comprendido del 01 de enero al 31 de Julio del 2022, se avanzo en un 40,57% de lo programado en la vigencia, lo que representa el diagnostico, clasificación e intervinieron jurídica de 2.847 expedientes sancionatorios y 10 expedientes contra la reserva constituida.
Adicionalmente se adelantaron 1.628 tramites administrativos ambientales, de las que se adelantaron 1.527 actuaciones de impulso y 101  actuaciones de fondo, originadas de los procesos de evaluación control y seguimiento, </t>
  </si>
  <si>
    <t>Durante lo corrido de la vigencia 2022, se a avanzado en un 37,8% de lo programado en la vigencia,  con el desarrollo de las siguientes actividades: 
Desde el componente de alistamiento, gestión y administración de los expedientes se avanzo en el desarrollo de 110.111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348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</si>
  <si>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julio de 2022, frente al seguimiento al proceso y procedimientos en el marco del tramite sancionatorio se avanzó en un 59% con el desarrollo de las siguientes acciones:
Del total de procesos en seguimiento (762) el 29% se encuentra en la etapa de auto de inicio, seguido por el 51% en la etapa de cargos, un 16% en pruebas, en etapa transversal (revocatorias, cesaciones y debida notificación) (3%), la etapa de Informe técnico de Criterios representa un 1% de participación, y para el mes de julio no se encuentran procesos en etapa que resuelve el sancionatorio. Teniendo en cuenta que los procesos en seguimiento fueron iniciados durante las vigencias 2020 y 2021, el mes de julio reporta una constante en la gestión de las etapas de los procesos sancionatorios, tanto para el grupo sancionatorio como para el grupo de Notificaciones, con respecto al mes de junio 2022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</si>
  <si>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1, 5. PROGRAMACIÓN INICIAL AÑO 2023</t>
  </si>
  <si>
    <t>1.6.REPROGRAMACIÓN VIGENCIA 2023</t>
  </si>
  <si>
    <t>I PRESUPUESTAL VIGENCIA 2023</t>
  </si>
  <si>
    <t>META VIGENCIA  2022</t>
  </si>
  <si>
    <t>AVANCE VIGENCIA 2022</t>
  </si>
  <si>
    <t>% AVANCE VIGENCIA 2022</t>
  </si>
  <si>
    <t>II PRODUCTO (FÍSICO) VIGENCIA 2023</t>
  </si>
  <si>
    <t>META VIGENCIA  2023</t>
  </si>
  <si>
    <t>AVANCE VIGENCIA 2023</t>
  </si>
  <si>
    <t>% AVANCE VIGENCIA 2023</t>
  </si>
  <si>
    <t>III ACTIVIDADES SUIFT (PRESUPUESTO) VIGENCIA 2023</t>
  </si>
  <si>
    <t>PRESUPUESTO VIGENCIA SUIFP 2023</t>
  </si>
  <si>
    <r>
      <t xml:space="preserve">REPROGRAMACIÓN </t>
    </r>
    <r>
      <rPr>
        <b/>
        <sz val="10"/>
        <rFont val="Arial"/>
        <family val="2"/>
      </rPr>
      <t>VIGENCIA 
(VALOR INICIAL)</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</si>
  <si>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</si>
  <si>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</si>
  <si>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</si>
  <si>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</si>
  <si>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</si>
  <si>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</si>
  <si>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</si>
  <si>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</si>
  <si>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</si>
  <si>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</si>
  <si>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</si>
  <si>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</si>
  <si>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</si>
  <si>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</si>
  <si>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</si>
  <si>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</si>
  <si>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</si>
  <si>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</si>
  <si>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</si>
  <si>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</si>
  <si>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</si>
  <si>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</si>
  <si>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</si>
  <si>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t xml:space="preserve">Durante el período comprendido del 01 de enero al 31 de agosto del 2022, se avanzo en un 41% de lo programado en la vigencia, lo que representa el diagnostico, clasificación e intervinieron jurídica de 2.894 expedientes sancionatorios y 10 expedientes contra la reserva constituida.
Adicionalmente se adelantaron 1.655 tramites administrativos ambientales, de las que se adelantaron 1.542 actuaciones de impulso y 113  actuaciones de fondo, originadas de los procesos de evaluación control y seguimiento, </t>
  </si>
  <si>
    <t>Para el periodo comprendido del 01 de enero al 31 de agosto de 2022, frente al seguimiento al proceso y procedimientos en el marco del tramite sancionatorio se avanzó en un 68% con el desarrollo de las siguientes acciones:
Del total de procesos en seguimiento (889) el 29% se encuentra en la etapa de auto de inicio, seguido por el 52% en la etapa de cargos, un 15% en pruebas, en etapa transversal (revocatorias, cesaciones y debida notificación) (3%), la etapa de Informe técnico de Criterios representa un 1% de participación, y para el mes de agosto se identificó un proceso en etapa que resuelve el sancionatorio. 
Con respecto al proceso de notificaciones, se presenta un aumento en la gestión del grupo de notificaciones al aumentar el porcentaje de participación de los procesos notificados (ok) del 76% al 86%,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</si>
  <si>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30 de septiembre  del 2022, se avanzo en un 41,92% de lo programado en la vigencia, lo que representa el diagnóstico, clasificación e intervinieron jurídica de 2.929 expedientes sancionatorios y 22 expedientes contra la reserva constituida, para un total de 2.951 expedientes saneados para periodo.
Adicionalmente se adelantaron 1.728 tramites administrativos ambientales, de las que se adelantaron 1.607 actuaciones de impulso y 121  actuaciones de fondo, originadas de los procesos de evaluación control y seguimiento, </t>
  </si>
  <si>
    <t>Durante lo corrido de la vigencia 2022, se ha avanzado en un 72,62% de lo programado en la vigencia,  con el desarrollo de las siguientes actividades: 
Desde el componente de alistamiento, gestión y administración de los expedientes se avanzo en el desarrollo de 149.538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132 expedientes (21 en mayo, 24 en junio, 22 en julio, 35 en agosto y 30 en septiembre)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</si>
  <si>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septiembre de 2022, frente al seguimiento al proceso y procedimientos en el marco del tramite sancionatorio se avanzó en un 77,10% con el desarrollo de las siguientes acciones:
De los procesos en seguimiento (1016) el 30% se encuentra en la etapa de auto de inicio, seguido por el 51% en la etapa de cargos, un 15% en pruebas, en etapa transversal (revocatorias, cesaciones y debida notificación) (3%), la etapa de Informe técnico de Criterios representa un 1% de participación, y para el mes de septiembre se identificó un proceso en etapa que resuelve el sancionatorio. Teniendo en cuenta que los procesos en seguimiento fueron iniciados durante las vigencias 2020 y 2021, no se evidencia un aumento en la gestión de las etapas sancionatorias en el mes de septiembre, pues respecto al mes de agosto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</si>
  <si>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Octubre   del 2022, se avanzo en un 47,93% de lo programado en la vigencia, lo que representa el diagnóstico, clasificación e intervinieron jurídica de 3.363 expedientes sancionatorios y 22 expedientes contra la reserva constituida, para un total de 3.385 expedientes saneados para periodo.
Adicionalmente se adelantaron 2.238 tramites administrativos ambientales, de las que se adelantaron 1.959 actuaciones de impulso y 279  actuaciones de fondo, originadas de los procesos de evaluación control y seguimiento, </t>
  </si>
  <si>
    <t>Durante lo corrido de la vigencia 2022, se a avanzado en un 76,19% de lo programado en la vigencia,  con el desarrollo de las siguientes actividades: 
Desde el componente de alistamiento, gestión y administración de los expedientes se avanzo en el desarrollo de 166.017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434 expedientes (21 en mayo, 24 en junio, 22 en julio, 35 en agosto, 30 en septiembre y 12 de octubre)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</si>
  <si>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octubre de 2022, frente al seguimiento al proceso y procedimientos en el marco del tramite sancionatorio se avanzó en un 86% con el desarrollo de las siguientes acciones:
Del total de procesos en seguimiento (1143) el 27% se encuentra en la etapa de auto de inicio, seguido por el 51% en la etapa de cargos, un 17% en pruebas, en etapa transversal (revocatorias, cesaciones y debida notificación) (3%), la etapa de Informe técnico de Criterios representa un 1% de participación, en etapa que resuelve el sancionatorio un 1% y para el mes de octubre se identificaron (2) procesos que finalizaron por cesación y revocatoria directa. Teniendo en cuenta que los procesos en seguimiento fueron iniciados durante las vigencias 2020 y 2021, se evidencia un leve aumento en la gestión de las etapas sancionatorias en el mes de octubre, pues respecto al mes de septiembre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</si>
  <si>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Durante el período comprendido del 01 de enero al 30 de noviembre   del 2022, se avanzo en un 81,6% de lo programado en la vigencia, lo que representa el diagnóstico, clasificación e intervinieron jurídica de 5.705 expedientes sancionatorios y 22 expedientes contra la reserva constituida, para un total de 5.727 expedientes saneados para periodo.
Adicionalmente se adelantaron 2.332 tramites administrativos ambientales, de las que se adelantaron 2.038 actuaciones de impulso y 294  actuaciones de fondo, originadas de los procesos de evaluación control y seguimiento,</t>
  </si>
  <si>
    <t>Durante lo corrido de la vigencia 2022, se a avanzado en un 96,86% de lo programado en la vigencia,  con el desarrollo de las siguientes actividades: 
Desde el componente de alistamiento, gestión y administración de los expedientes se avanzo en el desarrollo de 179,069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348 procesos de las 348 programadas para la vigencia relacionados con el licenciamiento ambiental y a su vez se han identificado 434 expedientes (21 en mayo, 24 en junio, 22 en julio, 35 en agosto, 30 en septiembre, 12 de octubre y 2 en noviembre)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</si>
  <si>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noviembre de 2022, frente al seguimiento al proceso y procedimientos en el marco del tramite sancionatorio se avanzó en un 95,16% con el desarrollo de las siguientes acciones:
Del total de procesos en seguimiento (1270) el 27% se encuentra en la etapa de auto de inicio, seguido por el 50% en la etapa de cargos, un 17% en pruebas, en etapa transversal (revocatorias, cesaciones y debida notificación) (3%), la etapa de Informe técnico de Criterios representa un 1% de participación, en etapa que resuelve el sancionatorio un 1% y para el mes de noviembre se identificaron (5) procesos que finalizaron por cesación y revocatoria directa. Teniendo en cuenta que los procesos en seguimiento fueron iniciados durante las vigencias 2020 y 2021, no se evidencia aumento en la gestión de las etapas sancionatorias en el mes de noviembre, pues respecto al mes de octubre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</si>
  <si>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t>
  </si>
  <si>
    <t>Durante lo corrido de la vigencia 2022, se avanzó en un 100% 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</si>
  <si>
    <t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</si>
  <si>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3. Impulsar y resolver de fondo los tramites administrativos ambientales de carácter sancionatorio que se originen en el marco del proceso de evaluación seguimiento y control ambiental de la SDA </t>
  </si>
  <si>
    <t>2. Realizar el saneamiento de 571 expedientes sancionatorios programados  en el 2022.</t>
  </si>
  <si>
    <t>x</t>
  </si>
  <si>
    <t xml:space="preserve">La inversión realizada no tiene  incidencia sobre el territorio distrital por cuanto  no se cuenta con el personal activo que desarrolle las actividades requeridas en la presente actividad.
</t>
  </si>
  <si>
    <t xml:space="preserve">Durante el periodo comprendido del 1 al 31 de enero de 2023, se realizaron las actividades encaminadas a la elaboración de planes de trabajo y organización de los equipos enfocados a la digitalizacion y/o escanedo de los expedientes sancionatorios de la Direccion de Control Ambiental. </t>
  </si>
  <si>
    <t>4. Realizar el proceso de organización y administración de los documentos de archivos y expedientes sancionatorios junto con las licencias ambientales del D.C.</t>
  </si>
  <si>
    <t xml:space="preserve">7. Realizar la evaluación del procedimiento sancionatorio ambiental y lineamientos técnico - jurídico asociados para generar la actualización del PM04-PR82 </t>
  </si>
  <si>
    <t xml:space="preserve">Para el periodo comprendido entre el 01 al 31 enero del 2023, no se realizo intervención jurídica de los expedientes de acuerdo a la programación establecida.
Es importante señalar que se esta realizando el diagnostico jurídico y el plan de trabajo en la vigencia el cual será ejecutado a partir del mes de febrero. 
Frente a la reserva se avanzo con el saneamiento 99 expedientes de 571 constituidos en el 2023.
Adicionalmente y con el animo de grantizar la atención y saneamiento de los nuevos procesos sancionatorios se originen, a fin de evitar el incremento del universo de expedientes se adelantaron 301  tramites administrativos ambientales, de las que se adelantaron 282 actuaciones de impulso y 19  actuaciones de fondo, originadas de los procesos de evaluación control y seguimiento, </t>
  </si>
  <si>
    <t>Durante el periodo comprendido del 1 al 31 de enero de 2023, no se cuenta con avance en la actualizacion del procedimiento sancionatorio tal como se realizo la programacion.</t>
  </si>
  <si>
    <t>1. Realizar el diagnostico e intervención jurídica de los expedientes sancionatorios priorizados para la vigencia a través de la proyección de actos administrativos ambientales a que haya lugar</t>
  </si>
  <si>
    <t>5. Implementar acciones priorizadas que faciliten el acceso para la consulta de expedientes sancionatorios de manera digital, articulado con la estrategia de ampliación de la capacidad tecnológica.</t>
  </si>
  <si>
    <t>8. Realizar la implementación de los lineamientos técnico- jurídicos y procedimientos asociados al trámite sancionatorio ambiental, mediante el seguimiento a la ejecución de los planes de trabajo.</t>
  </si>
  <si>
    <t xml:space="preserve">6. Realizar la organización y procesamiento de datos que se genera en el marco del tramite sancionaría y licenciamiento ambiental, para la gestión, seguimiento y consulta </t>
  </si>
  <si>
    <t>Para el periodo comprendido del 01 de enero al 28 de febrero del 2023, frente al seguimiento al proceso y procedimientos en el marco del tramite sancionatorio se avanzó en un 10% con el desarrollo de las siguientes acciones:
se realizó la revisión inicial del procedimiento No.P04-PR82, respecto de la caracterización del proceso de Evaluación Control y Seguimiento, encontrando inconsistencias en la entrada al proceso para las que se realizarán los cambios pertinentes en la actualización.</t>
  </si>
  <si>
    <t>Durante el período comprendido del 01 de enero al 28 de febrero del 2022, se avanzo en un 0,65% de lo programado en la vigencia, lo que representa el diagnóstico, clasificación e intervinieron jurídica de 47 expedientes sancionatorios 
Frente a la reserva se avanzo con el saneamiento 230 expedientes de 571 constituidos en el 2023.
Adicionalmente y con el animo de garantizar la atención y saneamiento de los nuevos procesos sancionatorios que se originen, a fin de evitar el incremento del universo de expedientes se adelantaron 324  tramites administrativos ambientales, de las que se adelantaron 301 actuaciones de impulso y 23  actuaciones de fondo, originadas de los procesos de evaluación control y seguimiento.</t>
  </si>
  <si>
    <t>Durante el periodo comprendido del 1 al 28  de febrero de 2023, Se avanzó en un 3,69% de lo programado en la vigencia,  con el desarrollo de las siguientes actividades: 
Desde el componente de alistamiento, gestión y administración de los expedientes se avanzo en el desarrollo de 1.235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</si>
  <si>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Durante el periodo comprendido del 1 al 31  de marzo de 2023, se avanzó en un 7,08% de lo programado en la vigencia,  con el desarrollo de las siguientes actividades: 
Desde el componente de alistamiento, gestión y administración de los expedientes se avanzó en el desarrollo de 1.549 actividades archivísticas correspondientes a la serie documental " expedientes sancionatorios".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</si>
  <si>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31 de marzo del 2023, frente al seguimiento al proceso y procedimientos en el marco del trámite sancionatorio se avanzó en un 24.52% con relación a lo programado por medio del desarrollo de las siguientes acciones:
Se realizó la revisión inicial del procedimiento No. P04-PR82, respecto de la caracterización del proceso de “Evaluación Control y Seguimiento”, encontrando inconsistencias en la entrada al proceso por lo que se inició con los ajustes de los lineamientos en el sistema.
Adicionalmente se diseñó y puso en marcha un modelo de seguimiento semanal, a partir de la recolección de información de las bases generadas para diligenciamiento de proyectores y revisores que tratan temas dentro del proceso sancionatorio ambiental.</t>
  </si>
  <si>
    <t>Durante el período comprendido del 01 de enero al 31 de marzo del 2023, se avanzó en un 5,74% de lo programado en la vigencia, lo que representa el diagnóstico, clasificación e intervinieron jurídica de 421 expedientes sancionatorios.
Frente a la  magnitud de reserva  constituida en el 2023, se avanzó con el saneamiento de 463 expedientes de 571 .
Adicionalmente y con el ánimo de garantizar la atención y saneamiento de los nuevos procesos sancionatorios que se originen, a fin de evitar el incremento del universo de expedientes, se adelantaron 442  trámites administrativos ambientales, los cuales estan representados en 411 actuaciones de impulso y 31 actuaciones de fondo, originadas de los procesos de evaluación control y seguimiento.</t>
  </si>
  <si>
    <t>Municipios - 11001 - BOGOTA D.C. [BOGOTA] - Propios</t>
  </si>
  <si>
    <t xml:space="preserve">TOTAL </t>
  </si>
  <si>
    <t>5, PONDERACIÓN HORIZONTAL AÑO: 2023</t>
  </si>
  <si>
    <t>Formato: Programación, Actualización y Seguimiento del Plan de Acción - Componente de  Territorialización</t>
  </si>
  <si>
    <t>Durante el período comprendido del 01 de enero al 30 de abril del 2023, se avanzó en un 21,02% de lo programado en la vigencia, lo que representa el diagnóstico, clasificación e intervención jurídica de 1.517 expedientes sancionatorios.
Frente a la  magnitud de reserva  constituida en el 2023, se avanzó con el saneamiento de 566 expedientes de 571 .
Adicionalmente y con el ánimo de garantizar la atención y saneamiento de los nuevos procesos sancionatorios que se originen, a fin de evitar el incremento del universo de expedientes, se adelantaron 318  trámites administrativos ambientales, los cuales están representados en 294 actuaciones de impulso y 24 actuaciones de fondo, originadas de los procesos de evaluación control y seguimiento.</t>
  </si>
  <si>
    <t>Durante el periodo comprendido del 1 de enero al 30  de abril de 2023, se avanzó en un 16,78% de lo programado en la vigencia,  con el desarrollo de las siguientes actividades: 
Desde el componente de alistamiento, gestión y administración de los expedientes se avanzó en el desarrollo de 4.954 actividades archivísticas correspondientes a la serie documental " expedientes sancionatorios". Se realizó el  proceso de diagnóstico de 149 expedientes de los cuales de lo corrió de la vigencia se han digitalizado 33 expedientes y se elaboró una macro que va a garantizar el diligenciamiento estandarizado de la información correspondiente al estado, avance y paso a paso de cada uno de los procesos sancionatorios, situación que hará posible el seguimiento y consulta.</t>
  </si>
  <si>
    <t>Para el periodo comprendido del 01 de enero al 30 de abril  del 2023, frente al seguimiento al proceso y procedimientos en el marco del trámite sancionatorio se avanzó en un 44.04% con relación a lo programado por medio del desarrollo de las siguientes acciones:  se realizó el  proceso de diagnóstico de 149 expedientes de los cuales, de lo corrido de la vigencia, se han digitalizado 33 expedientes,  
Se realizó la revisión y actualización del procedimiento No. PM04-PR82, respecto de la caracterización del proceso de “Evaluación Control y Seguimiento”, se puso en marcha un modelo de seguimiento semanal, a partir de la recolección de información de las bases generadas para diligenciamiento de proyectores y revisores que tratan temas dentro del proceso sancionatorio ambiental.</t>
  </si>
  <si>
    <t>6, % CUMPLIMIENTO ACUMULADO (al periodo) cuatrienio</t>
  </si>
  <si>
    <r>
      <t>Versión:</t>
    </r>
    <r>
      <rPr>
        <b/>
        <sz val="12"/>
        <color rgb="FFFF0000"/>
        <rFont val="Arial"/>
        <family val="2"/>
      </rPr>
      <t xml:space="preserve"> </t>
    </r>
    <r>
      <rPr>
        <b/>
        <sz val="12"/>
        <rFont val="Arial"/>
        <family val="2"/>
      </rPr>
      <t>14</t>
    </r>
  </si>
  <si>
    <t>Durante el período comprendido del 01 de enero al 30 de junio del 2023, se avanzó en un 33,89% de lo programado en la vigencia, lo que representa el diagnóstico, clasificación e intervención jurídica de 2.446 expedientes sancionatorios.
Frente a la magnitud de reserva constituida en el 2023, se avanzó con el saneamiento de 569 expedientes de 571.
Adicionalmente y con el ánimo de garantizar la atención y saneamiento de los nuevos procesos sancionatorios que se originen, a fin de evitar el incremento del universo de expedientes, se adelantaron 342  trámites administrativos ambientales, los cuales están representados en 316 actuaciones de impulso y 26 actuaciones de fondo, originadas de los procesos de evaluación control y seguimiento.</t>
  </si>
  <si>
    <t xml:space="preserve">Durante el periodo comprendido del 1 de enero al 30 de Junio de 2023, se avanzó en un 26,83% de lo programado en la vigencia, con el desarrollo de las siguientes actividades: 
Desde el componente de alistamiento, gestión y administración de los expedientes se avanzó en el desarrollo de 8.436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3.157 registros básicos de los 29.000 que se tienen, adicionalmente  se realizó la digitalización 372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</si>
  <si>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30 de Junio  del 2023, frente al seguimiento al proceso y procedimientos en el marco del trámite sancionatorio se avanzó en un 63.56% con relación a lo programado por medio del desarrollo de las siguientes acciones: sé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</si>
  <si>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30 de junio del 2023, se avanzó en un 46,71% de lo programado en la vigencia, lo que representa el diagnóstico, clasificación e intervención jurídica de 3.371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378  trámites administrativos ambientales, los cuales están representados en 350 actuaciones de impulso y 28 actuaciones de fondo, originadas de los procesos de evaluación control y seguimiento.</t>
  </si>
  <si>
    <t>Entidad
Descripción:  MPI 1. Saneamiento de expedientes sancionatorio de carácter ambiental.</t>
  </si>
  <si>
    <t xml:space="preserve">Durante el periodo comprendido del 1 de enero al 30 de Junio de 2023, se avanzó en un 37,58% de lo programado en la vigencia, con el desarrollo de las siguientes actividades: 
Desde el componente de alistamiento, gestión y administración de los expedientes se avanzó en el desarrollo de 14.345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4.878 registros básicos de los 29.000 que se tienen, adicionalmente  se realizó la digitalización 515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</si>
  <si>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30 de Junio  del 2023, frente al seguimiento al proceso y procedimientos en el marco del trámite sancionatorio se avanzó en un 68.07% con relación a lo programado por medio del desarrollo de las siguientes acciones: Se genera la  georreferenciación de las áreas de afectación de 70 expedientes de licencias ambientales, se completo la revisión y se cuenta con la versión final de los cambios al procedimiento No.PM04-PR82 que queda para cargue de nueva versión en ISOLUCION, luego de la revisión de subsecretaria como líder del sistema,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</si>
  <si>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MAGNITUD</t>
  </si>
  <si>
    <t xml:space="preserve">ENERO </t>
  </si>
  <si>
    <t xml:space="preserve">FEBRERO </t>
  </si>
  <si>
    <t>TOTAL</t>
  </si>
  <si>
    <t>INVERSION</t>
  </si>
  <si>
    <t>ACTIVIDADES</t>
  </si>
  <si>
    <t>1. Realizar la intervención jurídica de los expedientes sancionatorios priorizados para la vigencia  a traves de la proyección de las acciones y/o actos administrativos ambientales a que haya lugar</t>
  </si>
  <si>
    <t>PROGRAMADO</t>
  </si>
  <si>
    <t xml:space="preserve">EJECUTADO </t>
  </si>
  <si>
    <t xml:space="preserve">6. Realizar la evaluación del procedimiento sancionatorio ambiental y lineamientos técnico - jurídico asociados para generar la actualización del PM04-PR82 </t>
  </si>
  <si>
    <t>7. Realizar la implementación de los lineamientos técnico- jurídicos y procedimientos asociados al trámite sancionatorio ambiental, mediante el seguimiento a la ejecución de los planes de trabajo que incluyen el desarrollo del PM04-PR82.</t>
  </si>
  <si>
    <t>META PDD</t>
  </si>
  <si>
    <t>METAS PI</t>
  </si>
  <si>
    <t>EJECUCIÓN</t>
  </si>
  <si>
    <t>Durante el período comprendido del 01 de enero al 31 de julio del 2023, se avanzó en un 58,38% de lo programado en la vigencia, lo que representa el diagnóstico, clasificación e intervención jurídica de 4.213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469  trámites administrativos ambientales, los cuales están representados en 436 actuaciones de impulso y 33 actuaciones de fondo, originadas de los procesos de evaluación control y seguimiento.</t>
  </si>
  <si>
    <t xml:space="preserve">Durante el periodo comprendido del 1 de enero al 31 de Julio de 2023, se avanzó en un 48,33% de lo programado en la vigencia, con el desarrollo de las siguientes actividades: 
Desde el componente de alistamiento, gestión y administración de los expedientes se avanzó en el desarrollo de 16.826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6.558 registros básicos de los 29.000 que se tienen, adicionalmente  se realizó la digitalización 664 expedientes y Se puso en operación una herramienta (macro) en la cual se realiza el diligenciamiento de la información sobre el estado y avance del trámite de los procesos sancionatorios, adicionalmente se está ampliando la información respecto a la georreferenciación de las áreas de afectación de cada una de las licencias otorgadas y cargadas en el visor ambiental SDA.
</t>
  </si>
  <si>
    <t>Para el periodo comprendido del 01 de enero al 31 de Julio  del 2023, frente al seguimiento al proceso y procedimientos en el marco del trámite sancionatorio se avanzó en un 72.59% con relación a lo programado por medio del desarrollo de las siguientes acciones: Se genera la  georreferenciación de 105 áreas de afectación de 35 expedientes de licencias ambientales, se cargo la version final en  ISOLUCION  al procedimiento No.PM04-PR82,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</si>
  <si>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31 de Agosto del 2023, se avanzó en un 63.10% de lo programado en la vigencia, lo que representa el diagnóstico, clasificación e intervención jurídica de 4.554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503  trámites administrativos ambientales, los cuales están representados en 453 actuaciones de impulso y 50 actuaciones de fondo, originadas de los procesos de evaluación control y seguimiento.</t>
  </si>
  <si>
    <t xml:space="preserve">Durante el periodo comprendido del 1 de enero al 31 de Agosto de 2023, se avanzó en un 59,08% de lo programado en la vigencia, con el desarrollo de las siguientes actividades: 
Desde el componente de alistamiento, gestión y administración de los expedientes se avanzó en el desarrollo de 20.107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8.930 registros básicos de los 29.000 que se tienen, adicionalmente  se realizó la digitalización 805 expedientes, Se puso en operación una herramienta (macro) en la cual se realiza el diligenciamiento de la información sobre el estado y avance del trámite de los procesos sancionatorios, adicionalmente  Se genera la  georreferenciación de 105 áreas de afectación  de licencias ambientales y se realizaron las pruebas funcionales del reporte de inclusión predial en determinantes ambientales (Decreto 555 de 2021) - Visor Geográfico Ambiental de Bogotá, solicitadas por la DPSIA.
</t>
  </si>
  <si>
    <t>1,3. Identificación del punto de inversión</t>
  </si>
  <si>
    <r>
      <t>Durante el periodo comprendido entre el</t>
    </r>
    <r>
      <rPr>
        <sz val="9"/>
        <color rgb="FFFF0000"/>
        <rFont val="Arial"/>
        <family val="2"/>
      </rPr>
      <t xml:space="preserve"> </t>
    </r>
    <r>
      <rPr>
        <sz val="9"/>
        <rFont val="Arial"/>
        <family val="2"/>
      </rPr>
      <t>1 de enero al 31 de mayo de 2023, se completó la revisión y se cuenta con la versión final de los cambios al procedimiento No.PM04-PR82 Se realizo el cargue de nueva versión en ISOLUCION, el cual fue aprobado por la Subsecretaria a través del memorando 2023IE197972.</t>
    </r>
  </si>
  <si>
    <t>Para el periodo comprendido del 01 de enero al 31 de Agosto  del 2023, frente al seguimiento al proceso y procedimientos en el marco del trámite sancionatorio se avanzó en un 77.11%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</si>
  <si>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así mismo se atendió  32 solicitudes de consulta y/o préstamo de los expedientes sancionatorios</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</si>
  <si>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tardía se estima en  483 días.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</si>
  <si>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Evaluación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</si>
  <si>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física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</si>
  <si>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específicamente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</si>
  <si>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Correspondencia - Ordenación- FUID - Hoja de Control - Alistamiento y Organización - Verificación Física del Expediente.
Se realizó atención a 553 solicitudes de consulta y préstamo de expedientes así: Consulta: 47 - Préstamo: 506</t>
    </r>
  </si>
  <si>
    <r>
      <rPr>
        <b/>
        <sz val="11"/>
        <color theme="1"/>
        <rFont val="Calibri"/>
        <family val="2"/>
        <scheme val="minor"/>
      </rPr>
      <t xml:space="preserve">Diciembre:  </t>
    </r>
    <r>
      <rPr>
        <sz val="11"/>
        <color theme="1"/>
        <rFont val="Calibri"/>
        <family val="2"/>
        <scheme val="minor"/>
      </rPr>
      <t xml:space="preserve">1. El día 10 de Diciembre de 2020 fue aprobado oficialmente el procedimiento PM04-PR82 Proceso Sancionatorio Ambiental en el Sistema Integrado de Gestión de la SDA.  2. Se continuó con el seguimiento de los 10 procesos sancionatorios priorizados, así: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</si>
  <si>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La Secretaría Distrital de Ambiente con el fin de mejorar la capacidad tecnológica para la gestión, acceso y consulta de la información de los expedientes del trámite sancionatorio ambiental, durante el período del 01 de enero  al 28 de febrero de 2021 realizó las siguientes actividades: 
Enero:
Desglose : 43 - Apertura : 135- Inserción : 1159-- Correspondencia: 3942-
Encarpetado de expedientes :189- Verificación de expedientes: 1418-Consulta de expedientes: 15
Febrero:
Desglose: 85
Clasificación Documental e Inserción: 800
Ordenación: 5
FUID: 5
Hoja de Control: 5
Verificación Física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</si>
  <si>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así que para el periodo del  01 de enero al 28 de febrero de 2021, se realizaron las siguientes acciones:
Enero 
Se llevo a cabo la identificación de 161 procesos sancionatorios con el propósito de continuar con el  seguimiento a la implementación del proceso sancionatorio ambiental vigente.
Febrero:
Se estableció el plan de trabajo,  en donde se definió la actividad, los responsables, el porcentaje de ejecución, los productos esperados y  la cantidad de  procesos sancionatorios a los cuales se le hará seguimiento mes a mes. Este ejercicio, permitirá  generar alertas tempranas, así como identificar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</si>
  <si>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Resolución de caducidad:47
Formulación de cargos:29
Memorando de Archivo:29
Acto de Pérdida Fuerza Ejecutoria:33
Recurso contra pruebas:1
Auto de apertura de Investigación:24
Amonestación escrita: 1
Auto de inicio: 2</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</si>
  <si>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saneamiento de la DCA, genero 1743 actos administrativos ambientales, de los cuales se realizaron 431 actuaciones de fondo y 1312 actuaciones de impulso para el saneamiento de expedientes sancionatorios.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</si>
  <si>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saneamiento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</si>
  <si>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además se presentó al Director de la Dirección de Control Ambiental,  el resultado de estudio de mercado  los alcances y las acciones de manera estratégica que permita organizar los elementos de la digitalización para la consulta y preservación de la documentación.
Se realizo el avance de soporte del proyecto de digitalización  e indexación de expedientes sancionatorios ambientales para  la producción documental que haya sido gestionada por el fondo DAMA y el fondo SDA, y que pertenezca a los Procesos Sancionatorios Ambientales</t>
  </si>
  <si>
    <t>Se incluyen   columnas con nuevos patrones de medición en los componentes de Gestión e Inversión</t>
  </si>
  <si>
    <t>Formato: Programación, Actualización y Seguimiento  al Sistema de Información de Seguimiento a los Proyectos de Inversión Pública -SPI</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</si>
  <si>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DIAGNOSTICO E IMPLEMNETACION DE LA DIGITALIZACIÓN EN EL TRAMITE SANCIONATORIO 
- Se determino la necesidad  de realizar la georreferenciación de los procesos relacionados con el licenciamiento ambiental y a su vez su priorización y articulación con el proceso sancionatorio.
- Seguimiento a la ficha técnica proceso digitalización con el PETIC
- Se diseña el diccionario de datos.</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</si>
  <si>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cobros coactivos derivados del proceso sancionatorio, conceptos técnicos devueltos, notificaciones  lo anterior a través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</si>
  <si>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180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</si>
  <si>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t>
  </si>
  <si>
    <t>Durante lo corrido de la vigencia 2022, se a avanzado en un 64,6% de lo programado en la vigencia,  con el desarrollo de las siguientes actividades: 
Desde el componente de alistamiento, gestión y administración de los expedientes se avanzo en el desarrollo de 130.500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+EW17-Se realiza la georeferenciación de 288 procesos de las 348 programadas para la vigencia relacionados con el licenciamiento ambiental y a su vez su priorizacióin y articulación con el proceso sancionatorio.
- Seguimiento a la ficha técnica proceso digitalización con el PETIC
- Se diseña el diccionario de datos, en el cual  se da precisión semántica sobre los datos que se manejan en la base de datos de un sistema de información.
Es importante mencionar que dada la reduccion de recursos soportada en el concepto tecnico emitido por la DPSIA, por lo anterior la grenecia del proyecto solictara ante la Subdirección de Proyectos y Cooperación Internacional, la congelación de la presente actividad y la solicitud de creacion de una nueva, la cual reflajará la realidad de las acciones a ejecutar desde septiembre a Diciembre del 2022.</t>
  </si>
  <si>
    <r>
      <t xml:space="preserve">Para el periodo comprendido entre el 01 al 30 de Junio del 2023, se realizó la intervención jurídica, realizando el saneamiento de </t>
    </r>
    <r>
      <rPr>
        <sz val="9"/>
        <color theme="1"/>
        <rFont val="Arial"/>
        <family val="2"/>
      </rPr>
      <t>571</t>
    </r>
    <r>
      <rPr>
        <sz val="9"/>
        <rFont val="Arial"/>
        <family val="2"/>
      </rPr>
      <t xml:space="preserve"> expedientes constituidos como reserva.</t>
    </r>
  </si>
  <si>
    <t>Durante el período comprendido del 01 de enero al 31 de octubre del 2023, se avanzó en un 72.55% de lo programado en la vigencia, lo que representa el diagnóstico, clasificación e intervención jurídica de 5.936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643  trámites administrativos ambientales, los cuales están representados en 589 actuaciones de impulso y 54 actuaciones de fondo, originadas de los procesos de evaluación control y seguimiento.</t>
  </si>
  <si>
    <t xml:space="preserve">Durante el periodo comprendido del 1 de enero al 31 de octubre de 2023, se avanzó en un 69,83% de lo programado en la vigencia, con el desarrollo de las siguientes actividades: 
Desde el componente de alistamiento, gestión y administración de los expedientes se avanzó en el desarrollo de 24.289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12.093 registros básicos de los 29.000 que se tienen, adicionalmente  se realizó la digitalización 1,087 expedientes, Se puso en operación una herramienta (macro) en la cual se realiza el diligenciamiento de la información sobre el estado y avance del trámite de los procesos sancionatorios, adicionalmente  Se genera la  georreferenciación de 127 áreas de afectación  de licencias ambientales y se realizaron las pruebas funcionales del reporte de inclusión predial en determinantes ambientales (Decreto 555 de 2021) - Visor Geográfico Ambiental de Bogotá, solicitadas por la DPSIA.
</t>
  </si>
  <si>
    <t>Para el periodo comprendido del 01 de enero al 31 de octubre del 2023, frente al seguimiento al proceso y procedimientos en el marco del trámite sancionatorio se avanzó en un 83.11%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</si>
  <si>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 xml:space="preserve">Se genero un rezago acumulado de  377 procesos, lo anterior obedece a que parte de los procesos programados  para el saneamiento jurídico de expedientes de este mes tuvieron mayor complegidad en las etapas de diagnostico-jurídico y elaboración.
Adicionalmente se presenta afectación al cumplimiento de la meta  con ocasión a novedades contractuales relacionadas con suspensiones de contratos, cesiones y terminaciones anticipadas.
</t>
  </si>
  <si>
    <t xml:space="preserve">Se generara proceso de retroalimentación, seguimiento y control, en el cual se concerté una priorización de los procesos en rezago en los planes de trabajo del mes de Diciembre.
El grupo Contractual de la Dirección da celeridad a los diferentes tramites que impulsen las novedades contractuales presentadas, mitigando los riesgos por no ejecución de las actividades programadas en el marco del cumplimiento de la meta 
</t>
  </si>
  <si>
    <t>Durante el período comprendido del 01 de enero al 31 de octubre del 2023, se avanzó en un 82.25% de lo programado en la vigencia, lo que representa el diagnóstico, clasificación e intervención jurídica de 5.936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643  trámites administrativos ambientales, los cuales están representados en 589 actuaciones de impulso y 54 actuaciones de fondo, originadas de los procesos de evaluación control y seguimiento.</t>
  </si>
  <si>
    <t xml:space="preserve">Durante el periodo comprendido del 1 de enero al 31 de octubre de 2023, se avanzó en un 80,58% de lo programado en la vigencia, con el desarrollo de las siguientes actividades: 
Desde el componente de alistamiento, gestión y administración de los expedientes se avanzó en el desarrollo de 24.289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12.992 registros básicos de los 29.000 que se tienen, adicionalmente  se realizó la digitalización 1,087 expedientes, Se puso en operación una herramienta (macro) en la cual se realiza el diligenciamiento de la información sobre el estado y avance del trámite de los procesos sancionatorios, adicionalmente  Se genera la  georreferenciación de 127 áreas de afectación  de licencias ambientales y se realizaron las pruebas funcionales del reporte de inclusión predial en determinantes ambientales (Decreto 555 de 2021) - Visor Geográfico Ambiental de Bogotá, solicitadas por la DPSIA.
</t>
  </si>
  <si>
    <t>Para el periodo comprendido del 01 de enero al 31 de octubre del 2023, frente al seguimiento al proceso y procedimientos en el marco del trámite sancionatorio se avanzó en un 89.11%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</si>
  <si>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CORTE A DICIEMBRE DE 2023</t>
  </si>
  <si>
    <t>7, LOGROS CORTE A DICIEMBRE AÑO 2023</t>
  </si>
  <si>
    <t>Durante el periodo comprendido entre el 1 enero al 31 de diciembre de 2023,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</si>
  <si>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t>Durante el período comprendido del 01 de enero al 31 de Diciembre del 2023, se avanzó en un 93.53% de lo programado en la vigencia, lo que representa el diagnóstico, clasificación e intervención jurídica de 6.750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699  trámites administrativos ambientales, los cuales están representados en 641 actuaciones de impulso y 58 actuaciones de fondo, originadas de los procesos de evaluación control y seguimiento.</t>
  </si>
  <si>
    <t>Durante el periodo comprendido del 1 de enero al 31 de Diciembre de 2023, se avanzó en un 91,33% de lo programado en la vigencia, con el desarrollo de las siguientes actividades: 
Desde el componente de alistamiento, gestión y administración de los expedientes se avanzó en el desarrollo de 25.069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13.352 registros básicos de los 29.000 que se tienen, adicionalmente  se realizó la digitalización 1,228 expedientes, Se puso en operación una herramienta (macro) en la cual se realiza el diligenciamiento de la información sobre el estado y avance del trámite de los procesos sancionatorios, adicionalmente  Se genera la  georreferenciación de 141 áreas de afectación  de licencias ambientales y se realizaron las pruebas funcionales del reporte de inclusión predial en determinantes ambientales (Decreto 555 de 2021) - Visor Geográfico Ambiental de Bogotá, solicitadas por la DPSIA.</t>
  </si>
  <si>
    <t>Para el periodo comprendido del 01 de enero al 31 de Diciembre del 2023, frente al seguimiento al proceso y procedimientos en el marco del trámite sancionatorio se avanzó en un 95.11%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</si>
  <si>
    <r>
      <t xml:space="preserve">Durante el periodo comprendido entre el 1 de enero al 31 de diciembre  de 2023, Se han alimentado </t>
    </r>
    <r>
      <rPr>
        <b/>
        <sz val="9"/>
        <rFont val="Arial"/>
        <family val="2"/>
      </rPr>
      <t>14.702</t>
    </r>
    <r>
      <rPr>
        <sz val="9"/>
        <rFont val="Arial"/>
        <family val="2"/>
      </rPr>
      <t xml:space="preserve"> registros básicos que se tienen como soporte de información para el tablero de control a ejecutar por parte de DPSIA como primera versión el cual se encuentra en ajuste del grafico para su presentación,  adicionalmente se realizó la digitalización </t>
    </r>
    <r>
      <rPr>
        <b/>
        <sz val="9"/>
        <rFont val="Arial"/>
        <family val="2"/>
      </rPr>
      <t>1.369</t>
    </r>
    <r>
      <rPr>
        <sz val="9"/>
        <rFont val="Arial"/>
        <family val="2"/>
      </rPr>
      <t xml:space="preserve"> expedientes,</t>
    </r>
  </si>
  <si>
    <r>
      <t>Durante el periodo comprendido entre el 1 de enero al 31 de diciembre de 2023, Esta en operación una herramienta (macro) en la cual se realiza el diligenciamiento de la inf</t>
    </r>
    <r>
      <rPr>
        <sz val="9"/>
        <color theme="1"/>
        <rFont val="Arial"/>
        <family val="2"/>
      </rPr>
      <t xml:space="preserve">ormación sobre el estado y avance del trámite de los procesos sancionatorios, adicionalmente se amplio la información respecto a la georreferenciación de </t>
    </r>
    <r>
      <rPr>
        <b/>
        <sz val="9"/>
        <color theme="1"/>
        <rFont val="Arial"/>
        <family val="2"/>
      </rPr>
      <t>236</t>
    </r>
    <r>
      <rPr>
        <sz val="9"/>
        <color theme="1"/>
        <rFont val="Arial"/>
        <family val="2"/>
      </rPr>
      <t xml:space="preserve"> </t>
    </r>
    <r>
      <rPr>
        <sz val="9"/>
        <rFont val="Arial"/>
        <family val="2"/>
      </rPr>
      <t>áreas de afectación</t>
    </r>
    <r>
      <rPr>
        <sz val="9"/>
        <color rgb="FFFF0000"/>
        <rFont val="Arial"/>
        <family val="2"/>
      </rPr>
      <t xml:space="preserve"> </t>
    </r>
    <r>
      <rPr>
        <sz val="9"/>
        <color theme="1"/>
        <rFont val="Arial"/>
        <family val="2"/>
      </rPr>
      <t>de cada una de las licencias otorgadas y cargadas en el visor ambiental SDA y se realizaron las pruebas funcionales del reporte de inclusión predial en determinantes ambientales (Decreto 555 de 2021) - Visor Geográfico Ambiental de Bogotá, solicitadas por la DPSIA.</t>
    </r>
  </si>
  <si>
    <r>
      <t xml:space="preserve">La Secretaría Distrital de Ambiente  dentro del proceso de mejora a la capacidad tecnológica para la gestión, acceso y consulta de la información de los expedientes del trámite sancionatorio ambiental, durante el período del 01 de enero al 31 de diciembre de 2023, desde el componente  archivístico realizó </t>
    </r>
    <r>
      <rPr>
        <b/>
        <sz val="9"/>
        <rFont val="Arial"/>
        <family val="2"/>
      </rPr>
      <t>25.146</t>
    </r>
    <r>
      <rPr>
        <sz val="9"/>
        <rFont val="Arial"/>
        <family val="2"/>
      </rPr>
      <t xml:space="preserve"> actividades archivísticas  en el marco de los procesos de organización y administración de los expedientes correspondientes a la serie documental " expedientes sancionatorios" así:
Apertura: 222				
Inserción: 364				
Encarpetado de expedientes: 155				
Verificación de expedientes DCA: 191				
Consulta de expedientes: 83				
Préstamo de expedientes: 1.295				
Ordenación: 134				
Fuid: 81				
Hoja de control: 125				
Levantamiento base de datos inserciones DCA: 1.552			
clasificación documental: 101				
Asociación de radicados- forest: 75				
Revisión, depuración, levantamiento base de datos expedientes permisivos DCA: 501	
Ubicación física expedientes en estantería: 1.383			
Foliación: 137				
Transferencias: 30				
Asociación de radicados - Forest: 5				
Inserciones expedientes sancionatorios: 2				
Entrega de inserciones Protech: 26				
Levantamiento Base de Datos expedientes Protech: 616			
Apoyo saneamiento Jurídico: 4.342				
Atención ventanilla: 187				
Rotulación: 52				
Revisión, depuración y levantamiento base de datos archivo expedientes DCA: 13.389</t>
    </r>
  </si>
  <si>
    <r>
      <t xml:space="preserve">Para el periodo comprendido entre el 01 de enero al 31 de diciembre del 2023, se adelantaron </t>
    </r>
    <r>
      <rPr>
        <b/>
        <sz val="9"/>
        <color theme="1"/>
        <rFont val="Arial"/>
        <family val="2"/>
      </rPr>
      <t>1.397</t>
    </r>
    <r>
      <rPr>
        <sz val="9"/>
        <color theme="1"/>
        <rFont val="Arial"/>
        <family val="2"/>
      </rPr>
      <t xml:space="preserve"> trámites administrativos ambientales, los cuales están representados en </t>
    </r>
    <r>
      <rPr>
        <b/>
        <sz val="9"/>
        <color theme="1"/>
        <rFont val="Arial"/>
        <family val="2"/>
      </rPr>
      <t>1.266</t>
    </r>
    <r>
      <rPr>
        <sz val="9"/>
        <color theme="1"/>
        <rFont val="Arial"/>
        <family val="2"/>
      </rPr>
      <t xml:space="preserve"> actuaciones de impulso y </t>
    </r>
    <r>
      <rPr>
        <b/>
        <sz val="9"/>
        <color theme="1"/>
        <rFont val="Arial"/>
        <family val="2"/>
      </rPr>
      <t>131</t>
    </r>
    <r>
      <rPr>
        <sz val="9"/>
        <color theme="1"/>
        <rFont val="Arial"/>
        <family val="2"/>
      </rPr>
      <t xml:space="preserve"> actuaciones de fondo, originadas de los procesos de evaluación control y seguimiento.</t>
    </r>
  </si>
  <si>
    <r>
      <t>Durante el periodo comprendido del 1 de enero al 31 de Diciembre de 2023, se avanzó en un</t>
    </r>
    <r>
      <rPr>
        <sz val="11"/>
        <color rgb="FFFF0000"/>
        <rFont val="Calibri"/>
        <family val="2"/>
        <scheme val="minor"/>
      </rPr>
      <t xml:space="preserve"> </t>
    </r>
    <r>
      <rPr>
        <b/>
        <sz val="11"/>
        <rFont val="Calibri"/>
        <family val="2"/>
        <scheme val="minor"/>
      </rPr>
      <t>100</t>
    </r>
    <r>
      <rPr>
        <b/>
        <sz val="11"/>
        <color theme="1"/>
        <rFont val="Calibri"/>
        <family val="2"/>
        <scheme val="minor"/>
      </rPr>
      <t xml:space="preserve">% </t>
    </r>
    <r>
      <rPr>
        <sz val="11"/>
        <rFont val="Calibri"/>
        <family val="2"/>
        <scheme val="minor"/>
      </rPr>
      <t>de lo programado en la vigencia, con el desarrollo de las siguientes actividades: 
Desde el componente de alistamiento, gestión y administración de los expedientes se avanzó en el desarrollo de</t>
    </r>
    <r>
      <rPr>
        <sz val="11"/>
        <color rgb="FFFF0000"/>
        <rFont val="Calibri"/>
        <family val="2"/>
        <scheme val="minor"/>
      </rPr>
      <t xml:space="preserve"> </t>
    </r>
    <r>
      <rPr>
        <b/>
        <sz val="11"/>
        <rFont val="Calibri"/>
        <family val="2"/>
        <scheme val="minor"/>
      </rPr>
      <t>25.146</t>
    </r>
    <r>
      <rPr>
        <sz val="11"/>
        <rFont val="Calibri"/>
        <family val="2"/>
        <scheme val="minor"/>
      </rPr>
      <t xml:space="preserve">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t>
    </r>
    <r>
      <rPr>
        <b/>
        <sz val="11"/>
        <rFont val="Calibri"/>
        <family val="2"/>
        <scheme val="minor"/>
      </rPr>
      <t xml:space="preserve"> 14.702</t>
    </r>
    <r>
      <rPr>
        <sz val="11"/>
        <rFont val="Calibri"/>
        <family val="2"/>
        <scheme val="minor"/>
      </rPr>
      <t xml:space="preserve"> registros básicos, adicionalmente  se realizó la digitalización </t>
    </r>
    <r>
      <rPr>
        <b/>
        <sz val="11"/>
        <rFont val="Calibri"/>
        <family val="2"/>
        <scheme val="minor"/>
      </rPr>
      <t>1,369</t>
    </r>
    <r>
      <rPr>
        <sz val="11"/>
        <rFont val="Calibri"/>
        <family val="2"/>
        <scheme val="minor"/>
      </rPr>
      <t xml:space="preserve"> expedientes, Se puso en operación una herramienta (macro) en la cual se realiza el diligenciamiento de la información sobre el estado y avance del trámite de los procesos sancionatorios, adicionalmente  Se genera la  georreferenciación de </t>
    </r>
    <r>
      <rPr>
        <b/>
        <sz val="11"/>
        <rFont val="Calibri"/>
        <family val="2"/>
        <scheme val="minor"/>
      </rPr>
      <t>236</t>
    </r>
    <r>
      <rPr>
        <sz val="11"/>
        <rFont val="Calibri"/>
        <family val="2"/>
        <scheme val="minor"/>
      </rPr>
      <t xml:space="preserve"> áreas de afectación  de licencias ambientales y se realizaron las pruebas funcionales del reporte de inclusión predial en determinantes ambientales (Decreto 555 de 2021) - Visor Geográfico Ambiental de Bogotá, solicitadas por la DPSIA.</t>
    </r>
  </si>
  <si>
    <r>
      <t xml:space="preserve">Para el periodo comprendido del 01 de enero al 31 de Diciembre del 2023, frente al seguimiento al proceso y procedimientos en el marco del trámite sancionatorio se avanzó en un </t>
    </r>
    <r>
      <rPr>
        <b/>
        <sz val="11"/>
        <rFont val="Calibri"/>
        <family val="2"/>
        <scheme val="minor"/>
      </rPr>
      <t>100</t>
    </r>
    <r>
      <rPr>
        <b/>
        <sz val="11"/>
        <color theme="1"/>
        <rFont val="Calibri"/>
        <family val="2"/>
        <scheme val="minor"/>
      </rPr>
      <t>%</t>
    </r>
    <r>
      <rPr>
        <sz val="11"/>
        <rFont val="Calibri"/>
        <family val="2"/>
        <scheme val="minor"/>
      </rPr>
      <t xml:space="preserve">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t>
    </r>
  </si>
  <si>
    <r>
      <t>Durante el período comprendido del 01 de enero al 31 de Diciembre del 2023, se avanzó en un</t>
    </r>
    <r>
      <rPr>
        <b/>
        <sz val="11"/>
        <rFont val="Calibri"/>
        <family val="2"/>
        <scheme val="minor"/>
      </rPr>
      <t xml:space="preserve"> 97,</t>
    </r>
    <r>
      <rPr>
        <b/>
        <sz val="11"/>
        <color theme="1"/>
        <rFont val="Calibri"/>
        <family val="2"/>
        <scheme val="minor"/>
      </rPr>
      <t>7%</t>
    </r>
    <r>
      <rPr>
        <sz val="11"/>
        <rFont val="Calibri"/>
        <family val="2"/>
        <scheme val="minor"/>
      </rPr>
      <t xml:space="preserve"> de lo programado en la vigencia, lo que representa el diagnóstico, clasificación e</t>
    </r>
    <r>
      <rPr>
        <sz val="11"/>
        <color rgb="FFFF0000"/>
        <rFont val="Calibri"/>
        <family val="2"/>
        <scheme val="minor"/>
      </rPr>
      <t xml:space="preserve"> </t>
    </r>
    <r>
      <rPr>
        <sz val="11"/>
        <rFont val="Calibri"/>
        <family val="2"/>
        <scheme val="minor"/>
      </rPr>
      <t>intervención</t>
    </r>
    <r>
      <rPr>
        <sz val="11"/>
        <color rgb="FFFF0000"/>
        <rFont val="Calibri"/>
        <family val="2"/>
        <scheme val="minor"/>
      </rPr>
      <t xml:space="preserve"> </t>
    </r>
    <r>
      <rPr>
        <sz val="11"/>
        <rFont val="Calibri"/>
        <family val="2"/>
        <scheme val="minor"/>
      </rPr>
      <t>jurídica de</t>
    </r>
    <r>
      <rPr>
        <b/>
        <sz val="11"/>
        <rFont val="Calibri"/>
        <family val="2"/>
        <scheme val="minor"/>
      </rPr>
      <t xml:space="preserve"> 7.052</t>
    </r>
    <r>
      <rPr>
        <sz val="11"/>
        <rFont val="Calibri"/>
        <family val="2"/>
        <scheme val="minor"/>
      </rPr>
      <t xml:space="preserve"> expedientes sancionatorios.
Frente a la magnitud de reserva constituida en el 2023, se realizó la intervención jurídica, realizando el saneamiento de </t>
    </r>
    <r>
      <rPr>
        <b/>
        <sz val="11"/>
        <rFont val="Calibri"/>
        <family val="2"/>
        <scheme val="minor"/>
      </rPr>
      <t>571</t>
    </r>
    <r>
      <rPr>
        <sz val="11"/>
        <rFont val="Calibri"/>
        <family val="2"/>
        <scheme val="minor"/>
      </rPr>
      <t xml:space="preserve"> expedientes constituidos como reserva.
Adicionalmente y con el ánimo de garantizar la atención y saneamiento de los nuevos procesos sancionatorios que se originen, a fin de evitar el incremento del universo de expedientes, se adelantaron</t>
    </r>
    <r>
      <rPr>
        <sz val="11"/>
        <color theme="1"/>
        <rFont val="Calibri"/>
        <family val="2"/>
        <scheme val="minor"/>
      </rPr>
      <t xml:space="preserve"> </t>
    </r>
    <r>
      <rPr>
        <b/>
        <sz val="11"/>
        <color theme="1"/>
        <rFont val="Calibri"/>
        <family val="2"/>
        <scheme val="minor"/>
      </rPr>
      <t>1.397</t>
    </r>
    <r>
      <rPr>
        <sz val="11"/>
        <rFont val="Calibri"/>
        <family val="2"/>
        <scheme val="minor"/>
      </rPr>
      <t xml:space="preserve">  trámites administrativos ambientales, los cuales están representados en 1.266 actuaciones de impulso y 131 actuaciones de fondo, originadas de los procesos de evaluación control y seguimiento.</t>
    </r>
  </si>
  <si>
    <r>
      <t>Se ha avanzado en el cuatrienio en</t>
    </r>
    <r>
      <rPr>
        <sz val="11"/>
        <color rgb="FFFF0000"/>
        <rFont val="Arial"/>
        <family val="2"/>
      </rPr>
      <t xml:space="preserve"> </t>
    </r>
    <r>
      <rPr>
        <sz val="11"/>
        <rFont val="Arial"/>
        <family val="2"/>
      </rPr>
      <t xml:space="preserve">86%, de los cuales en el 2020 un 11%, 2021 un 24 %, 2022 un 24% y con corte al 31 de diciembre  2023 un 27% esto se ve reflejado en:
SANEAMIENTO EXP SANCIONATORIOS:
En el marco plan de desarrollo vigente acumuladamente con corte al 31 de diciembre 2022 se ha realizado el saneamiento de 9,063 expedientes y para el 2023 se han saneado  571 contra reserva y 7.052 de vigencia. 
CAPACIDAD TECNOLÓGICA:
Se realizó 386.551 actividades archivísticas de organización y administración de los expedientes hasta el 2022
Proyecto de digitalización: El concepto técnico No SGDA-2022-00001, señala que NO es procedente avanzar los procesos de digitalización por cuanto la herramienta Forest, NO cumple con los requerimientos TIC para garantizar la consulta de los procesos sancionatorios una vez son digitalizados. 
Producto de lo anterior se realizó una reducción de recursos que impacto la meta proyecto de inversión, frente a lo cual se realizó una reprogramación en magnitud del 2022 reduciendo 10% y reprogramando estas acciones y la magnitud en el 2023.
2023:  Se realizaron las actividades archivísticas de organización y admón. de los expedientes, adicionalmente se encuentra en actualización constante la macro que va a garantizar el diligenciamiento estandarizado de la información.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2023: Se realizo la digitalización de los expedientes. Se genera la georreferenciación de las áreas de afectación de las licencias ambientales, adicionalmente se publicó la versión final del procedimiento No.PM04-PR82, adicionalmente se diseñó y puso en marcha el modelo de seguimiento semanal a los planes de trabajo de los contratistas de la DCA.
</t>
    </r>
  </si>
  <si>
    <r>
      <t xml:space="preserve">Para el periodo comprendido entre el 01 enero al 31 de diciembre del 2023 de la presente vigencia, se realizó la intervención jurídica de </t>
    </r>
    <r>
      <rPr>
        <b/>
        <sz val="9"/>
        <rFont val="Arial"/>
        <family val="2"/>
      </rPr>
      <t xml:space="preserve">7.052 </t>
    </r>
    <r>
      <rPr>
        <sz val="9"/>
        <rFont val="Arial"/>
        <family val="2"/>
      </rPr>
      <t>expedientes a través del saneamiento jurídico,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t>
    </r>
  </si>
  <si>
    <t>Sistema de Información Ambiental FOREST "Actos Administrativos con numero de procesos"
Archivos de la Dirección de Control Ambiental 
https://drive.google.com/drive/u/0/folders/1eVAy0S5xuMDIfi0JRqVqdDLAChSQyHVn</t>
  </si>
  <si>
    <t xml:space="preserve">
Archivos de la Dirección de Control Ambiental " Base Archivo Expedientes"
https://drive.google.com/drive/u/0/folders/1eVAy0S5xuMDIfi0JRqVqdDLAChSQyHVn</t>
  </si>
  <si>
    <t>Solución https://drive.google.com/drive/u/0/folders/1eVAy0S5xuMDIfi0JRqVqdDLAChSQyHVn
Archivos de la Dirección de Control Ambiental  "Base seguimiento planes de trabajo"
https://drive.google.com/drive/u/0/folders/1dDDmtutDOkN8KFmnEekSMkSm75H3W3Iq</t>
  </si>
  <si>
    <t>Se generó una reserva acumulada de  165 procesos en el mes de diciembre, en la etapa de proyección y  revisión por dificultad en la intervención Juridica.</t>
  </si>
  <si>
    <t xml:space="preserve">Se generara plan de choque para el mes de enero 2024 priorizando las revisiónes, aprobaciones y firmas de los procesos pendientes.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</si>
</sst>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00_);_(&quot;$&quot;* \(#,##0.00\);_(&quot;$&quot;*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0"/>
    <numFmt numFmtId="179" formatCode="#,##0_ ;\-#,##0\ "/>
    <numFmt numFmtId="180" formatCode="&quot;$&quot;\ #,##0"/>
    <numFmt numFmtId="181" formatCode="0.000"/>
    <numFmt numFmtId="182" formatCode="&quot;$&quot;\ #,##0.00"/>
    <numFmt numFmtId="183" formatCode="#,##0.0"/>
    <numFmt numFmtId="184" formatCode="_-[$$-240A]\ * #,##0.00_-;\-[$$-240A]\ * #,##0.00_-;_-[$$-240A]\ * &quot;-&quot;??_-;_-@_-"/>
    <numFmt numFmtId="185" formatCode="&quot;$&quot;#,##0"/>
    <numFmt numFmtId="186" formatCode="#,##0.0;\-#,##0.0"/>
    <numFmt numFmtId="187" formatCode="0.0"/>
    <numFmt numFmtId="188" formatCode="_-[$$-240A]\ * #,##0_-;\-[$$-240A]\ * #,##0_-;_-[$$-240A]\ * &quot;-&quot;??_-;_-@_-"/>
    <numFmt numFmtId="189" formatCode="_-* #,##0.000_-;\-* #,##0.000_-;_-* &quot;-&quot;???_-;_-@_-"/>
    <numFmt numFmtId="190" formatCode="0.000%"/>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1"/>
      <color indexed="8"/>
      <name val="Arial"/>
      <family val="2"/>
    </font>
    <font>
      <sz val="9"/>
      <name val="Calibri"/>
      <family val="2"/>
      <scheme val="minor"/>
    </font>
    <font>
      <b/>
      <sz val="12"/>
      <color theme="1"/>
      <name val="Calibri"/>
      <family val="2"/>
      <scheme val="minor"/>
    </font>
    <font>
      <b/>
      <sz val="10"/>
      <color theme="1"/>
      <name val="Calibri"/>
      <family val="2"/>
      <scheme val="minor"/>
    </font>
    <font>
      <sz val="10"/>
      <color theme="1"/>
      <name val="Arial Narrow"/>
      <family val="2"/>
    </font>
    <font>
      <b/>
      <sz val="9"/>
      <color theme="1"/>
      <name val="Arial"/>
      <family val="2"/>
    </font>
    <font>
      <sz val="7"/>
      <name val="Calibri"/>
      <family val="2"/>
      <scheme val="minor"/>
    </font>
    <font>
      <sz val="30"/>
      <name val="Calibri"/>
      <family val="2"/>
      <scheme val="minor"/>
    </font>
    <font>
      <b/>
      <sz val="11"/>
      <name val="Calibri"/>
      <family val="2"/>
      <scheme val="minor"/>
    </font>
    <font>
      <b/>
      <sz val="12"/>
      <color rgb="FFFF0000"/>
      <name val="Arial"/>
      <family val="2"/>
    </font>
    <font>
      <sz val="9"/>
      <color rgb="FFFF0000"/>
      <name val="Arial"/>
      <family val="2"/>
    </font>
    <font>
      <sz val="11"/>
      <color rgb="FFFF0000"/>
      <name val="Calibri"/>
      <family val="2"/>
      <scheme val="minor"/>
    </font>
    <font>
      <sz val="11"/>
      <color indexed="9"/>
      <name val="Calibri"/>
      <family val="2"/>
    </font>
    <font>
      <sz val="10"/>
      <color indexed="8"/>
      <name val="Verdana"/>
      <family val="2"/>
    </font>
    <font>
      <b/>
      <sz val="10"/>
      <color indexed="8"/>
      <name val="Verdana"/>
      <family val="2"/>
    </font>
    <font>
      <b/>
      <sz val="8"/>
      <name val="Arial Narrow"/>
      <family val="2"/>
    </font>
    <font>
      <b/>
      <sz val="7"/>
      <name val="Calibri"/>
      <family val="2"/>
      <scheme val="minor"/>
    </font>
    <font>
      <b/>
      <sz val="12"/>
      <color theme="1"/>
      <name val="Arial"/>
      <family val="2"/>
    </font>
    <font>
      <sz val="8"/>
      <name val="Arial Narrow"/>
      <family val="2"/>
    </font>
    <font>
      <b/>
      <sz val="7"/>
      <name val="Arial"/>
      <family val="2"/>
    </font>
    <font>
      <b/>
      <sz val="12"/>
      <name val="Calibri"/>
      <family val="2"/>
      <scheme val="minor"/>
    </font>
    <font>
      <b/>
      <sz val="7"/>
      <color theme="1"/>
      <name val="Arial"/>
      <family val="2"/>
    </font>
    <font>
      <sz val="7"/>
      <color theme="1"/>
      <name val="Arial"/>
      <family val="2"/>
    </font>
    <font>
      <sz val="8"/>
      <name val="Calibri"/>
      <family val="2"/>
      <scheme val="minor"/>
    </font>
    <font>
      <sz val="11"/>
      <color rgb="FFFF0000"/>
      <name val="Arial"/>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669900"/>
        <bgColor indexed="64"/>
      </patternFill>
    </fill>
    <fill>
      <patternFill patternType="solid">
        <fgColor indexed="62"/>
      </patternFill>
    </fill>
    <fill>
      <patternFill patternType="solid">
        <fgColor indexed="23"/>
        <bgColor indexed="64"/>
      </patternFill>
    </fill>
    <fill>
      <patternFill patternType="solid">
        <fgColor theme="9" tint="0.79998168889431442"/>
        <bgColor indexed="64"/>
      </patternFill>
    </fill>
    <fill>
      <patternFill patternType="solid">
        <fgColor rgb="FF00FF00"/>
        <bgColor indexed="64"/>
      </patternFill>
    </fill>
    <fill>
      <patternFill patternType="solid">
        <fgColor rgb="FFFA26D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0F0"/>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medium">
        <color auto="1"/>
      </bottom>
      <diagonal/>
    </border>
    <border>
      <left style="thin">
        <color auto="1"/>
      </left>
      <right/>
      <top style="medium">
        <color auto="1"/>
      </top>
      <bottom style="medium">
        <color indexed="64"/>
      </bottom>
      <diagonal/>
    </border>
    <border>
      <left style="medium">
        <color indexed="64"/>
      </left>
      <right style="medium">
        <color indexed="64"/>
      </right>
      <top style="thin">
        <color auto="1"/>
      </top>
      <bottom/>
      <diagonal/>
    </border>
    <border>
      <left style="thin">
        <color auto="1"/>
      </left>
      <right/>
      <top/>
      <bottom style="medium">
        <color indexed="64"/>
      </bottom>
      <diagonal/>
    </border>
    <border>
      <left style="thin">
        <color auto="1"/>
      </left>
      <right/>
      <top style="thin">
        <color auto="1"/>
      </top>
      <bottom style="medium">
        <color indexed="64"/>
      </bottom>
      <diagonal/>
    </border>
  </borders>
  <cellStyleXfs count="3714">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5" fontId="19" fillId="0" borderId="0" applyFont="0" applyFill="0" applyBorder="0" applyAlignment="0" applyProtection="0"/>
    <xf numFmtId="167"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3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9"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 fontId="83" fillId="0" borderId="1" applyFill="0" applyProtection="0">
      <alignment horizontal="right" vertical="center"/>
    </xf>
    <xf numFmtId="170" fontId="1" fillId="0" borderId="0" applyFont="0" applyFill="0" applyBorder="0" applyAlignment="0" applyProtection="0"/>
    <xf numFmtId="4" fontId="83" fillId="0" borderId="1" applyFill="0" applyProtection="0">
      <alignment horizontal="righ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0" fontId="37" fillId="14" borderId="71" applyNumberFormat="0" applyProtection="0">
      <alignment horizontal="left" vertical="center" wrapText="1"/>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177"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 fontId="36" fillId="0" borderId="71" applyFill="0" applyProtection="0">
      <alignment horizontal="right" vertical="center"/>
    </xf>
    <xf numFmtId="43" fontId="26" fillId="0" borderId="0" applyFont="0" applyFill="0" applyBorder="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26" fillId="0" borderId="71" applyNumberFormat="0" applyFont="0" applyFill="0" applyAlignment="0" applyProtection="0"/>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0" fontId="36" fillId="0" borderId="71" applyNumberFormat="0" applyFill="0" applyProtection="0">
      <alignment horizontal="left" vertical="center"/>
    </xf>
    <xf numFmtId="170" fontId="1" fillId="0" borderId="0" applyFont="0" applyFill="0" applyBorder="0" applyAlignment="0" applyProtection="0"/>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3" fontId="83" fillId="0" borderId="1" applyFill="0" applyProtection="0">
      <alignment horizontal="right" vertical="center"/>
    </xf>
    <xf numFmtId="0" fontId="26" fillId="0" borderId="0"/>
    <xf numFmtId="0" fontId="40" fillId="0" borderId="0"/>
    <xf numFmtId="0" fontId="40" fillId="0" borderId="0"/>
    <xf numFmtId="0" fontId="1" fillId="0" borderId="0"/>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0" fontId="84" fillId="26" borderId="71" applyNumberFormat="0" applyProtection="0">
      <alignment horizontal="left" vertical="center" wrapText="1"/>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177" fontId="83" fillId="0" borderId="71" applyFill="0" applyProtection="0">
      <alignment horizontal="right" vertical="center"/>
    </xf>
    <xf numFmtId="0" fontId="82" fillId="25" borderId="0" applyNumberFormat="0" applyBorder="0" applyAlignment="0" applyProtection="0"/>
    <xf numFmtId="4" fontId="83" fillId="0" borderId="1" applyFill="0" applyProtection="0">
      <alignment horizontal="right" vertical="center"/>
    </xf>
    <xf numFmtId="4" fontId="83" fillId="0" borderId="1" applyFill="0" applyProtection="0">
      <alignment horizontal="right" vertical="center"/>
    </xf>
    <xf numFmtId="4" fontId="83" fillId="0" borderId="1" applyFill="0" applyProtection="0">
      <alignment horizontal="right" vertical="center"/>
    </xf>
    <xf numFmtId="4" fontId="83" fillId="0" borderId="1" applyFill="0" applyProtection="0">
      <alignment horizontal="right" vertical="center"/>
    </xf>
    <xf numFmtId="4" fontId="83" fillId="0" borderId="1" applyFill="0" applyProtection="0">
      <alignment horizontal="right" vertical="center"/>
    </xf>
    <xf numFmtId="4" fontId="83" fillId="0" borderId="1" applyFill="0" applyProtection="0">
      <alignment horizontal="righ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0" fontId="83" fillId="0" borderId="1" applyNumberFormat="0" applyFill="0" applyProtection="0">
      <alignment horizontal="left" vertical="center"/>
    </xf>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xf numFmtId="3" fontId="36" fillId="0" borderId="71" applyFill="0" applyProtection="0">
      <alignment horizontal="right" vertical="center"/>
    </xf>
  </cellStyleXfs>
  <cellXfs count="1043">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0" fillId="3" borderId="0" xfId="0" applyFill="1" applyAlignment="1">
      <alignment horizontal="center"/>
    </xf>
    <xf numFmtId="0" fontId="0" fillId="0" borderId="0" xfId="0" applyAlignment="1">
      <alignment horizont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0" borderId="0" xfId="0" applyFont="1"/>
    <xf numFmtId="0" fontId="7" fillId="0" borderId="0" xfId="0" applyFont="1" applyAlignment="1">
      <alignment vertical="center"/>
    </xf>
    <xf numFmtId="0" fontId="43" fillId="15" borderId="0" xfId="0" applyFont="1" applyFill="1" applyAlignment="1">
      <alignment horizontal="center"/>
    </xf>
    <xf numFmtId="0" fontId="24"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6" applyFont="1" applyFill="1" applyBorder="1" applyAlignment="1">
      <alignment horizontal="center" vertical="center" wrapText="1"/>
    </xf>
    <xf numFmtId="0" fontId="56" fillId="19" borderId="11" xfId="2866"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59" xfId="0" applyBorder="1"/>
    <xf numFmtId="0" fontId="0" fillId="0" borderId="12" xfId="0" applyBorder="1"/>
    <xf numFmtId="0" fontId="56" fillId="19" borderId="4" xfId="2866" applyFont="1" applyFill="1" applyBorder="1" applyAlignment="1">
      <alignment horizontal="center" vertical="center" wrapText="1"/>
    </xf>
    <xf numFmtId="0" fontId="56" fillId="19" borderId="12" xfId="2866" applyFont="1" applyFill="1" applyBorder="1" applyAlignment="1">
      <alignment horizontal="center" vertical="center" wrapText="1"/>
    </xf>
    <xf numFmtId="0" fontId="57" fillId="0" borderId="1" xfId="0" applyFont="1" applyBorder="1"/>
    <xf numFmtId="0" fontId="54" fillId="17" borderId="1" xfId="0" applyFont="1" applyFill="1" applyBorder="1" applyAlignment="1">
      <alignment horizontal="center" vertical="center" wrapText="1"/>
    </xf>
    <xf numFmtId="42" fontId="5" fillId="0" borderId="0" xfId="2865" applyFont="1" applyFill="1" applyAlignment="1">
      <alignment horizontal="center"/>
    </xf>
    <xf numFmtId="4" fontId="43" fillId="15" borderId="0" xfId="0" applyNumberFormat="1" applyFont="1" applyFill="1" applyAlignment="1">
      <alignment horizontal="center"/>
    </xf>
    <xf numFmtId="0" fontId="43" fillId="0" borderId="0" xfId="0" applyFont="1" applyAlignment="1">
      <alignment horizontal="center"/>
    </xf>
    <xf numFmtId="2" fontId="0" fillId="0" borderId="0" xfId="0" applyNumberFormat="1" applyAlignment="1">
      <alignment horizontal="center"/>
    </xf>
    <xf numFmtId="43" fontId="59" fillId="0" borderId="0" xfId="0" applyNumberFormat="1" applyFont="1"/>
    <xf numFmtId="41" fontId="0" fillId="0" borderId="0" xfId="0" applyNumberFormat="1" applyAlignment="1">
      <alignment horizontal="center"/>
    </xf>
    <xf numFmtId="182" fontId="5" fillId="0" borderId="0" xfId="0" applyNumberFormat="1" applyFont="1" applyAlignment="1">
      <alignment horizontal="center"/>
    </xf>
    <xf numFmtId="0" fontId="0" fillId="0" borderId="0" xfId="0" applyAlignment="1">
      <alignment wrapText="1"/>
    </xf>
    <xf numFmtId="182"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43" fontId="0" fillId="0" borderId="0" xfId="0" applyNumberFormat="1" applyAlignment="1">
      <alignment horizontal="center"/>
    </xf>
    <xf numFmtId="0" fontId="11" fillId="20" borderId="22" xfId="0" applyFont="1" applyFill="1" applyBorder="1" applyAlignment="1">
      <alignment horizontal="center" vertical="center" wrapText="1"/>
    </xf>
    <xf numFmtId="0" fontId="11" fillId="17" borderId="58" xfId="0" applyFont="1" applyFill="1" applyBorder="1" applyAlignment="1">
      <alignment horizontal="center" vertical="center" wrapText="1"/>
    </xf>
    <xf numFmtId="0" fontId="11" fillId="20" borderId="6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8" fillId="0" borderId="0" xfId="0" applyFont="1" applyAlignment="1">
      <alignment vertical="top" wrapText="1"/>
    </xf>
    <xf numFmtId="0" fontId="27"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3" fontId="61"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17" borderId="48"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60" fillId="0" borderId="0" xfId="0" applyFont="1"/>
    <xf numFmtId="10" fontId="27" fillId="0" borderId="1" xfId="0" applyNumberFormat="1" applyFont="1" applyBorder="1" applyAlignment="1">
      <alignment horizontal="center" vertical="center"/>
    </xf>
    <xf numFmtId="42" fontId="18" fillId="0" borderId="1" xfId="0" applyNumberFormat="1" applyFont="1" applyBorder="1" applyAlignment="1">
      <alignment horizontal="center" vertical="center" wrapText="1"/>
    </xf>
    <xf numFmtId="1" fontId="25" fillId="15" borderId="0" xfId="0" applyNumberFormat="1" applyFont="1" applyFill="1" applyAlignment="1" applyProtection="1">
      <alignment horizontal="center"/>
      <protection locked="0"/>
    </xf>
    <xf numFmtId="1" fontId="43" fillId="0" borderId="0" xfId="0" applyNumberFormat="1" applyFont="1" applyAlignment="1">
      <alignment horizontal="center"/>
    </xf>
    <xf numFmtId="42" fontId="18" fillId="0" borderId="0" xfId="0" applyNumberFormat="1" applyFont="1" applyAlignment="1">
      <alignment horizontal="center" vertical="center" wrapText="1"/>
    </xf>
    <xf numFmtId="0" fontId="57" fillId="0" borderId="1" xfId="0" applyFont="1" applyBorder="1" applyAlignment="1">
      <alignment horizontal="center" vertical="center"/>
    </xf>
    <xf numFmtId="9" fontId="7" fillId="0" borderId="0" xfId="21" applyFont="1" applyFill="1" applyBorder="1" applyAlignment="1">
      <alignment horizontal="center" vertical="center"/>
    </xf>
    <xf numFmtId="185"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4" fillId="0" borderId="18" xfId="0" applyFont="1" applyBorder="1" applyAlignment="1">
      <alignment horizontal="center" vertical="center"/>
    </xf>
    <xf numFmtId="0" fontId="57" fillId="0" borderId="1" xfId="0" applyFont="1" applyBorder="1" applyAlignment="1">
      <alignment vertical="center" wrapText="1"/>
    </xf>
    <xf numFmtId="2" fontId="57" fillId="0" borderId="1" xfId="0" applyNumberFormat="1" applyFont="1" applyBorder="1" applyAlignment="1">
      <alignment horizontal="center" vertical="center"/>
    </xf>
    <xf numFmtId="9" fontId="57" fillId="0" borderId="1" xfId="24" applyFont="1" applyBorder="1" applyAlignment="1">
      <alignment horizontal="center" vertical="center"/>
    </xf>
    <xf numFmtId="0" fontId="57" fillId="0" borderId="11" xfId="0" applyFont="1" applyBorder="1" applyAlignment="1">
      <alignment horizontal="justify" vertical="center" wrapText="1"/>
    </xf>
    <xf numFmtId="0" fontId="44" fillId="0" borderId="11" xfId="0" applyFont="1" applyBorder="1" applyAlignment="1">
      <alignment horizontal="justify" vertical="center" wrapText="1"/>
    </xf>
    <xf numFmtId="3" fontId="0" fillId="0" borderId="1" xfId="0" applyNumberFormat="1" applyBorder="1" applyAlignment="1">
      <alignment horizontal="center" vertical="center"/>
    </xf>
    <xf numFmtId="0" fontId="71" fillId="0" borderId="11" xfId="0" applyFont="1" applyBorder="1" applyAlignment="1">
      <alignment horizontal="justify" vertical="center" wrapText="1"/>
    </xf>
    <xf numFmtId="9" fontId="54" fillId="0" borderId="1" xfId="24" applyFont="1" applyBorder="1" applyAlignment="1">
      <alignment horizontal="center" vertical="center"/>
    </xf>
    <xf numFmtId="9" fontId="23" fillId="0" borderId="1" xfId="21" applyFont="1" applyBorder="1" applyAlignment="1">
      <alignment horizontal="center" vertical="center"/>
    </xf>
    <xf numFmtId="0" fontId="0" fillId="0" borderId="1" xfId="0" applyBorder="1" applyAlignment="1">
      <alignment horizontal="center" vertical="center" wrapText="1"/>
    </xf>
    <xf numFmtId="9" fontId="23" fillId="0" borderId="1" xfId="21" applyFont="1" applyFill="1" applyBorder="1" applyAlignment="1">
      <alignment horizontal="center" vertical="center"/>
    </xf>
    <xf numFmtId="184" fontId="57" fillId="0" borderId="1" xfId="10" applyNumberFormat="1" applyFont="1" applyFill="1" applyBorder="1" applyAlignment="1">
      <alignment horizontal="center" vertical="center" wrapText="1"/>
    </xf>
    <xf numFmtId="184" fontId="57"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2" fontId="57" fillId="0" borderId="1" xfId="10" applyNumberFormat="1" applyFont="1" applyFill="1" applyBorder="1" applyAlignment="1">
      <alignment horizontal="center" vertical="center"/>
    </xf>
    <xf numFmtId="0" fontId="71" fillId="0" borderId="11" xfId="0" applyFont="1" applyBorder="1" applyAlignment="1">
      <alignment horizontal="center" wrapText="1"/>
    </xf>
    <xf numFmtId="2" fontId="0" fillId="0" borderId="1" xfId="0" applyNumberFormat="1" applyBorder="1" applyAlignment="1">
      <alignment horizontal="center" vertical="center"/>
    </xf>
    <xf numFmtId="181" fontId="0" fillId="0" borderId="1" xfId="0" applyNumberForma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182" fontId="57" fillId="0" borderId="5" xfId="10" applyNumberFormat="1" applyFont="1" applyFill="1" applyBorder="1" applyAlignment="1">
      <alignment horizontal="center" vertical="center"/>
    </xf>
    <xf numFmtId="0" fontId="57" fillId="0" borderId="5" xfId="0" applyFont="1" applyBorder="1" applyAlignment="1">
      <alignment horizontal="center" vertical="center"/>
    </xf>
    <xf numFmtId="0" fontId="0" fillId="0" borderId="1" xfId="0" applyBorder="1" applyAlignment="1">
      <alignment wrapText="1"/>
    </xf>
    <xf numFmtId="0" fontId="43" fillId="0" borderId="1" xfId="0" applyFont="1" applyBorder="1" applyAlignment="1">
      <alignment horizontal="center" vertical="center"/>
    </xf>
    <xf numFmtId="0" fontId="43" fillId="15" borderId="0" xfId="0" applyFont="1" applyFill="1" applyAlignment="1">
      <alignment horizontal="center" vertical="center"/>
    </xf>
    <xf numFmtId="0" fontId="5" fillId="18" borderId="24" xfId="0" applyFont="1" applyFill="1" applyBorder="1" applyAlignment="1">
      <alignment horizontal="center" vertical="center" wrapText="1"/>
    </xf>
    <xf numFmtId="0" fontId="5" fillId="22" borderId="33" xfId="0" applyFont="1" applyFill="1" applyBorder="1" applyAlignment="1">
      <alignment horizontal="center" vertical="center" wrapText="1"/>
    </xf>
    <xf numFmtId="0" fontId="5" fillId="17" borderId="33" xfId="0" applyFont="1" applyFill="1" applyBorder="1" applyAlignment="1">
      <alignment horizontal="center" vertical="center" wrapText="1"/>
    </xf>
    <xf numFmtId="0" fontId="5" fillId="17" borderId="61" xfId="0" applyFont="1" applyFill="1" applyBorder="1" applyAlignment="1">
      <alignment horizontal="center" vertical="center" wrapText="1"/>
    </xf>
    <xf numFmtId="0" fontId="61" fillId="22" borderId="33" xfId="0" applyFont="1" applyFill="1" applyBorder="1" applyAlignment="1">
      <alignment horizontal="center" vertical="center" wrapText="1"/>
    </xf>
    <xf numFmtId="0" fontId="61" fillId="17" borderId="33" xfId="0" applyFont="1" applyFill="1" applyBorder="1" applyAlignment="1">
      <alignment horizontal="center" vertical="center" wrapText="1"/>
    </xf>
    <xf numFmtId="0" fontId="61" fillId="17" borderId="61" xfId="0" applyFont="1" applyFill="1" applyBorder="1" applyAlignment="1">
      <alignment horizontal="center" vertical="center" wrapText="1"/>
    </xf>
    <xf numFmtId="0" fontId="11" fillId="21" borderId="58" xfId="0" applyFont="1" applyFill="1" applyBorder="1" applyAlignment="1">
      <alignment horizontal="center" vertical="center" wrapText="1"/>
    </xf>
    <xf numFmtId="0" fontId="0" fillId="0" borderId="11" xfId="0" applyBorder="1" applyAlignment="1">
      <alignment horizontal="center" vertical="center" wrapText="1"/>
    </xf>
    <xf numFmtId="9" fontId="54" fillId="0" borderId="1" xfId="24" applyFont="1" applyFill="1" applyBorder="1" applyAlignment="1">
      <alignment horizontal="center" vertical="center"/>
    </xf>
    <xf numFmtId="0" fontId="0" fillId="0" borderId="11" xfId="0" applyBorder="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5" xfId="0" applyFont="1" applyBorder="1" applyAlignment="1">
      <alignment horizontal="center" vertical="center"/>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center" vertical="center" wrapText="1"/>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54"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1" fillId="0" borderId="11" xfId="0" applyFont="1" applyBorder="1" applyAlignment="1">
      <alignment horizontal="justify" vertical="center" wrapText="1"/>
    </xf>
    <xf numFmtId="0" fontId="71" fillId="0" borderId="11" xfId="0" applyFont="1" applyBorder="1" applyAlignment="1">
      <alignment horizontal="center" vertical="center" wrapText="1"/>
    </xf>
    <xf numFmtId="0" fontId="21" fillId="0" borderId="11" xfId="0" applyFont="1" applyBorder="1" applyAlignment="1">
      <alignment vertical="center" wrapText="1"/>
    </xf>
    <xf numFmtId="0" fontId="21" fillId="0" borderId="11" xfId="0" applyFont="1" applyBorder="1" applyAlignment="1">
      <alignment horizontal="left" vertical="center" wrapText="1"/>
    </xf>
    <xf numFmtId="184" fontId="57" fillId="0" borderId="5" xfId="10" applyNumberFormat="1" applyFont="1" applyFill="1" applyBorder="1" applyAlignment="1">
      <alignment horizontal="center" vertical="center"/>
    </xf>
    <xf numFmtId="0" fontId="54"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xf>
    <xf numFmtId="2" fontId="57" fillId="0" borderId="0" xfId="0" applyNumberFormat="1" applyFont="1" applyAlignment="1">
      <alignment horizontal="center" vertical="center"/>
    </xf>
    <xf numFmtId="9" fontId="57" fillId="0" borderId="0" xfId="24" applyFont="1" applyBorder="1" applyAlignment="1">
      <alignment horizontal="center" vertical="center"/>
    </xf>
    <xf numFmtId="0" fontId="57" fillId="0" borderId="0" xfId="0" applyFont="1" applyAlignment="1">
      <alignment horizontal="justify"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44" fillId="0" borderId="11" xfId="0" applyFont="1" applyBorder="1" applyAlignment="1">
      <alignment horizontal="center" vertical="center" wrapText="1"/>
    </xf>
    <xf numFmtId="185" fontId="0" fillId="0" borderId="1" xfId="10" applyNumberFormat="1" applyFont="1" applyBorder="1" applyAlignment="1">
      <alignment horizontal="center" vertical="center"/>
    </xf>
    <xf numFmtId="0" fontId="0" fillId="0" borderId="11" xfId="0" applyBorder="1" applyAlignment="1">
      <alignment vertical="center"/>
    </xf>
    <xf numFmtId="185" fontId="0" fillId="0" borderId="1" xfId="0" applyNumberFormat="1" applyBorder="1" applyAlignment="1">
      <alignment horizontal="center"/>
    </xf>
    <xf numFmtId="9" fontId="0" fillId="0" borderId="11" xfId="24" applyFont="1" applyBorder="1" applyAlignment="1">
      <alignment horizontal="center" vertical="center"/>
    </xf>
    <xf numFmtId="185"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2" fontId="57" fillId="0" borderId="5" xfId="10" applyNumberFormat="1" applyFont="1" applyBorder="1" applyAlignment="1">
      <alignment horizontal="center" vertical="center"/>
    </xf>
    <xf numFmtId="0" fontId="0" fillId="0" borderId="11" xfId="0" applyBorder="1" applyAlignment="1">
      <alignment horizontal="justify" vertical="center"/>
    </xf>
    <xf numFmtId="0" fontId="71" fillId="0" borderId="1" xfId="0" applyFont="1" applyBorder="1" applyAlignment="1">
      <alignment horizontal="center" wrapText="1"/>
    </xf>
    <xf numFmtId="0" fontId="71" fillId="0" borderId="1" xfId="0" applyFont="1" applyBorder="1" applyAlignment="1">
      <alignment horizontal="justify" vertical="center" wrapText="1"/>
    </xf>
    <xf numFmtId="0" fontId="23" fillId="0" borderId="59" xfId="0" applyFont="1" applyBorder="1" applyAlignment="1">
      <alignment horizontal="center" vertical="center"/>
    </xf>
    <xf numFmtId="0" fontId="23" fillId="0" borderId="0" xfId="0" applyFont="1" applyAlignment="1">
      <alignment horizontal="center" vertical="center"/>
    </xf>
    <xf numFmtId="9" fontId="23" fillId="0" borderId="1" xfId="24" applyFont="1" applyFill="1" applyBorder="1" applyAlignment="1">
      <alignment horizontal="center" vertical="center"/>
    </xf>
    <xf numFmtId="9" fontId="0" fillId="0" borderId="1" xfId="21" applyFont="1" applyFill="1" applyBorder="1" applyAlignment="1">
      <alignment horizontal="center" vertical="center"/>
    </xf>
    <xf numFmtId="0" fontId="21" fillId="0" borderId="1" xfId="0" applyFont="1" applyBorder="1" applyAlignment="1">
      <alignment horizontal="justify" vertical="center" wrapText="1"/>
    </xf>
    <xf numFmtId="0" fontId="23" fillId="0" borderId="18" xfId="0" applyFont="1" applyBorder="1" applyAlignment="1">
      <alignment horizontal="center" vertical="center"/>
    </xf>
    <xf numFmtId="0" fontId="27" fillId="0" borderId="11" xfId="0" applyFont="1" applyBorder="1" applyAlignment="1">
      <alignment horizontal="center" vertical="center"/>
    </xf>
    <xf numFmtId="182" fontId="3" fillId="0" borderId="5" xfId="10" applyNumberFormat="1" applyFont="1" applyFill="1" applyBorder="1" applyAlignment="1">
      <alignment horizontal="center" vertical="center"/>
    </xf>
    <xf numFmtId="0" fontId="12" fillId="3" borderId="0" xfId="0" applyFont="1" applyFill="1" applyAlignment="1">
      <alignment horizontal="left"/>
    </xf>
    <xf numFmtId="180" fontId="4" fillId="21" borderId="67" xfId="0" applyNumberFormat="1" applyFont="1" applyFill="1" applyBorder="1" applyAlignment="1" applyProtection="1">
      <alignment horizontal="left" vertical="center" wrapText="1"/>
      <protection locked="0"/>
    </xf>
    <xf numFmtId="182" fontId="4" fillId="21" borderId="67" xfId="0" applyNumberFormat="1" applyFont="1" applyFill="1" applyBorder="1" applyAlignment="1" applyProtection="1">
      <alignment horizontal="left" vertical="center" wrapText="1"/>
      <protection locked="0"/>
    </xf>
    <xf numFmtId="0" fontId="12" fillId="0" borderId="0" xfId="0" applyFont="1" applyAlignment="1">
      <alignment horizontal="left"/>
    </xf>
    <xf numFmtId="4" fontId="43" fillId="15" borderId="0" xfId="0" applyNumberFormat="1" applyFont="1" applyFill="1" applyAlignment="1">
      <alignment horizontal="left"/>
    </xf>
    <xf numFmtId="9" fontId="0" fillId="0" borderId="0" xfId="21" applyFont="1" applyFill="1"/>
    <xf numFmtId="4" fontId="0" fillId="0" borderId="0" xfId="0" applyNumberFormat="1" applyAlignment="1">
      <alignment horizontal="center"/>
    </xf>
    <xf numFmtId="188" fontId="5" fillId="0" borderId="0" xfId="0" applyNumberFormat="1" applyFont="1" applyAlignment="1">
      <alignment horizontal="center"/>
    </xf>
    <xf numFmtId="180" fontId="5" fillId="0" borderId="0" xfId="0" applyNumberFormat="1" applyFont="1" applyAlignment="1">
      <alignment horizontal="center"/>
    </xf>
    <xf numFmtId="188" fontId="0" fillId="0" borderId="0" xfId="0" applyNumberFormat="1"/>
    <xf numFmtId="10" fontId="0" fillId="0" borderId="0" xfId="21" applyNumberFormat="1" applyFont="1"/>
    <xf numFmtId="0" fontId="57" fillId="0" borderId="0" xfId="0" applyFont="1"/>
    <xf numFmtId="9" fontId="0" fillId="0" borderId="0" xfId="24"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82" fontId="57" fillId="0" borderId="0" xfId="10" applyNumberFormat="1" applyFont="1" applyFill="1" applyBorder="1" applyAlignment="1">
      <alignment horizontal="center" vertical="center"/>
    </xf>
    <xf numFmtId="184" fontId="57" fillId="0" borderId="0" xfId="10" applyNumberFormat="1" applyFont="1" applyFill="1" applyBorder="1" applyAlignment="1">
      <alignment horizontal="center" vertical="center"/>
    </xf>
    <xf numFmtId="0" fontId="21" fillId="0" borderId="0" xfId="0" applyFont="1" applyAlignment="1">
      <alignment horizontal="left" vertical="center" wrapText="1"/>
    </xf>
    <xf numFmtId="0" fontId="0" fillId="0" borderId="18" xfId="0" applyBorder="1" applyAlignment="1">
      <alignment horizontal="center" vertical="center"/>
    </xf>
    <xf numFmtId="180" fontId="4" fillId="21" borderId="6" xfId="0" applyNumberFormat="1" applyFont="1" applyFill="1" applyBorder="1" applyAlignment="1" applyProtection="1">
      <alignment horizontal="left" vertical="center" wrapText="1"/>
      <protection locked="0"/>
    </xf>
    <xf numFmtId="0" fontId="3" fillId="3" borderId="0" xfId="0" applyFont="1" applyFill="1" applyAlignment="1">
      <alignment horizontal="center"/>
    </xf>
    <xf numFmtId="42" fontId="3" fillId="0" borderId="0" xfId="2865" applyFont="1" applyFill="1" applyAlignment="1">
      <alignment horizontal="center"/>
    </xf>
    <xf numFmtId="171" fontId="3" fillId="0" borderId="0" xfId="3" applyFont="1" applyFill="1" applyBorder="1" applyAlignment="1">
      <alignment horizontal="center"/>
    </xf>
    <xf numFmtId="0" fontId="3" fillId="0" borderId="0" xfId="0" applyFont="1" applyAlignment="1">
      <alignment horizontal="center"/>
    </xf>
    <xf numFmtId="182" fontId="3" fillId="0" borderId="0" xfId="0" applyNumberFormat="1" applyFont="1" applyAlignment="1">
      <alignment horizontal="center"/>
    </xf>
    <xf numFmtId="0" fontId="2" fillId="17" borderId="49"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22" borderId="33" xfId="0" applyFont="1" applyFill="1" applyBorder="1" applyAlignment="1">
      <alignment horizontal="center" vertical="center" wrapText="1"/>
    </xf>
    <xf numFmtId="0" fontId="4" fillId="17" borderId="33" xfId="0" applyFont="1" applyFill="1" applyBorder="1" applyAlignment="1">
      <alignment horizontal="center" vertical="center" wrapText="1"/>
    </xf>
    <xf numFmtId="0" fontId="74" fillId="0" borderId="0" xfId="0" applyFont="1" applyAlignment="1">
      <alignment horizontal="center" vertical="center"/>
    </xf>
    <xf numFmtId="180" fontId="4" fillId="18" borderId="67" xfId="0" applyNumberFormat="1" applyFont="1" applyFill="1" applyBorder="1" applyAlignment="1" applyProtection="1">
      <alignment horizontal="left" vertical="center" wrapText="1"/>
      <protection locked="0"/>
    </xf>
    <xf numFmtId="180" fontId="20" fillId="0" borderId="0" xfId="0" applyNumberFormat="1" applyFont="1" applyAlignment="1">
      <alignment horizontal="center" vertical="center"/>
    </xf>
    <xf numFmtId="182" fontId="4" fillId="18" borderId="67" xfId="0" applyNumberFormat="1" applyFont="1" applyFill="1" applyBorder="1" applyAlignment="1" applyProtection="1">
      <alignment horizontal="left" vertical="center" wrapText="1"/>
      <protection locked="0"/>
    </xf>
    <xf numFmtId="182" fontId="20" fillId="0" borderId="0" xfId="0" applyNumberFormat="1" applyFont="1" applyAlignment="1">
      <alignment horizontal="center" vertical="center"/>
    </xf>
    <xf numFmtId="0" fontId="20" fillId="0" borderId="0" xfId="0" applyFont="1" applyAlignment="1">
      <alignment horizontal="center" vertical="center"/>
    </xf>
    <xf numFmtId="180" fontId="4" fillId="18" borderId="6" xfId="0" applyNumberFormat="1" applyFont="1" applyFill="1" applyBorder="1" applyAlignment="1" applyProtection="1">
      <alignment horizontal="left" vertical="center" wrapText="1"/>
      <protection locked="0"/>
    </xf>
    <xf numFmtId="182" fontId="4" fillId="18" borderId="6" xfId="0" applyNumberFormat="1" applyFont="1" applyFill="1" applyBorder="1" applyAlignment="1" applyProtection="1">
      <alignment horizontal="left" vertical="center" wrapText="1"/>
      <protection locked="0"/>
    </xf>
    <xf numFmtId="2" fontId="20" fillId="0" borderId="0" xfId="0" applyNumberFormat="1" applyFont="1" applyAlignment="1">
      <alignment horizontal="center" vertical="center"/>
    </xf>
    <xf numFmtId="2" fontId="4" fillId="17" borderId="67" xfId="0" applyNumberFormat="1" applyFont="1" applyFill="1" applyBorder="1" applyAlignment="1" applyProtection="1">
      <alignment horizontal="left" vertical="center" wrapText="1"/>
      <protection locked="0"/>
    </xf>
    <xf numFmtId="0" fontId="4" fillId="17" borderId="67" xfId="0" applyFont="1" applyFill="1" applyBorder="1" applyAlignment="1" applyProtection="1">
      <alignment horizontal="left" vertical="center" wrapText="1"/>
      <protection locked="0"/>
    </xf>
    <xf numFmtId="182" fontId="4" fillId="18" borderId="68" xfId="0" applyNumberFormat="1" applyFont="1" applyFill="1" applyBorder="1" applyAlignment="1" applyProtection="1">
      <alignment horizontal="left" vertical="center" wrapText="1"/>
      <protection locked="0"/>
    </xf>
    <xf numFmtId="180" fontId="73" fillId="0" borderId="0" xfId="0" applyNumberFormat="1" applyFont="1" applyAlignment="1">
      <alignment horizontal="center" vertical="center"/>
    </xf>
    <xf numFmtId="2" fontId="4" fillId="17" borderId="6" xfId="0" applyNumberFormat="1" applyFont="1" applyFill="1" applyBorder="1" applyAlignment="1" applyProtection="1">
      <alignment horizontal="left" vertical="center" wrapText="1"/>
      <protection locked="0"/>
    </xf>
    <xf numFmtId="0" fontId="4" fillId="17" borderId="6" xfId="0" applyFont="1" applyFill="1" applyBorder="1" applyAlignment="1" applyProtection="1">
      <alignment horizontal="left" vertical="center" wrapText="1"/>
      <protection locked="0"/>
    </xf>
    <xf numFmtId="170" fontId="4" fillId="18" borderId="25" xfId="9" applyFont="1" applyFill="1" applyBorder="1" applyAlignment="1" applyProtection="1">
      <alignment horizontal="left" vertical="center" wrapText="1"/>
      <protection locked="0"/>
    </xf>
    <xf numFmtId="170" fontId="73" fillId="0" borderId="0" xfId="9" applyFont="1" applyAlignment="1">
      <alignment horizontal="center" vertical="center"/>
    </xf>
    <xf numFmtId="170" fontId="20" fillId="0" borderId="0" xfId="9" applyFont="1" applyAlignment="1">
      <alignment horizontal="center"/>
    </xf>
    <xf numFmtId="170" fontId="4" fillId="17" borderId="43" xfId="9" applyFont="1" applyFill="1" applyBorder="1" applyAlignment="1" applyProtection="1">
      <alignment horizontal="left" vertical="top" wrapText="1"/>
      <protection locked="0"/>
    </xf>
    <xf numFmtId="0" fontId="16" fillId="0" borderId="0" xfId="16" applyFont="1" applyAlignment="1">
      <alignment vertical="center"/>
    </xf>
    <xf numFmtId="0" fontId="16" fillId="2" borderId="0" xfId="16" applyFont="1" applyFill="1" applyAlignment="1">
      <alignment vertical="center"/>
    </xf>
    <xf numFmtId="0" fontId="16" fillId="2" borderId="0" xfId="16" applyFont="1" applyFill="1" applyAlignment="1">
      <alignment horizontal="left" vertical="top"/>
    </xf>
    <xf numFmtId="10" fontId="16" fillId="2" borderId="0" xfId="16" applyNumberFormat="1" applyFont="1" applyFill="1" applyAlignment="1">
      <alignment vertical="center"/>
    </xf>
    <xf numFmtId="0" fontId="16" fillId="2" borderId="0" xfId="16" applyFont="1" applyFill="1" applyAlignment="1">
      <alignment vertical="top"/>
    </xf>
    <xf numFmtId="0" fontId="75" fillId="4" borderId="1" xfId="0" applyFont="1" applyFill="1" applyBorder="1" applyAlignment="1">
      <alignment horizontal="center" vertical="center"/>
    </xf>
    <xf numFmtId="0" fontId="44" fillId="0" borderId="1" xfId="0" applyFont="1" applyBorder="1" applyAlignment="1">
      <alignment horizontal="center" vertical="center"/>
    </xf>
    <xf numFmtId="10" fontId="16" fillId="0" borderId="0" xfId="16" applyNumberFormat="1" applyFont="1" applyAlignment="1">
      <alignment vertical="center"/>
    </xf>
    <xf numFmtId="0" fontId="16" fillId="0" borderId="0" xfId="16" applyFont="1" applyAlignment="1">
      <alignment horizontal="left" vertical="top"/>
    </xf>
    <xf numFmtId="180" fontId="72" fillId="0" borderId="0" xfId="9" applyNumberFormat="1" applyFont="1" applyAlignment="1">
      <alignment horizontal="center"/>
    </xf>
    <xf numFmtId="180" fontId="11" fillId="18" borderId="67" xfId="9" applyNumberFormat="1" applyFont="1" applyFill="1" applyBorder="1" applyAlignment="1" applyProtection="1">
      <alignment horizontal="left" vertical="top"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justify" vertical="top" wrapText="1"/>
    </xf>
    <xf numFmtId="181" fontId="7" fillId="0" borderId="0" xfId="0" applyNumberFormat="1" applyFont="1" applyAlignment="1">
      <alignment horizontal="center" vertical="center"/>
    </xf>
    <xf numFmtId="189" fontId="0" fillId="0" borderId="0" xfId="0" applyNumberFormat="1" applyAlignment="1">
      <alignment horizontal="center"/>
    </xf>
    <xf numFmtId="0" fontId="2" fillId="17" borderId="33" xfId="0" applyFont="1" applyFill="1" applyBorder="1" applyAlignment="1">
      <alignment horizontal="left" vertical="center" wrapText="1"/>
    </xf>
    <xf numFmtId="0" fontId="4" fillId="17" borderId="66" xfId="0" applyFont="1" applyFill="1" applyBorder="1" applyAlignment="1" applyProtection="1">
      <alignment horizontal="left" vertical="center" wrapText="1"/>
      <protection locked="0"/>
    </xf>
    <xf numFmtId="2" fontId="4" fillId="17" borderId="39" xfId="0" applyNumberFormat="1" applyFont="1" applyFill="1" applyBorder="1" applyAlignment="1" applyProtection="1">
      <alignment horizontal="left" vertical="center" wrapText="1"/>
      <protection locked="0"/>
    </xf>
    <xf numFmtId="182" fontId="4" fillId="18" borderId="43" xfId="0" applyNumberFormat="1" applyFont="1" applyFill="1" applyBorder="1" applyAlignment="1" applyProtection="1">
      <alignment horizontal="left" vertical="center" wrapText="1"/>
      <protection locked="0"/>
    </xf>
    <xf numFmtId="2" fontId="5" fillId="3" borderId="0" xfId="0" applyNumberFormat="1" applyFont="1" applyFill="1" applyAlignment="1">
      <alignment horizontal="center"/>
    </xf>
    <xf numFmtId="0" fontId="56" fillId="19" borderId="2" xfId="2866" applyFont="1" applyFill="1" applyBorder="1" applyAlignment="1">
      <alignment horizontal="center" vertical="center" wrapText="1"/>
    </xf>
    <xf numFmtId="0" fontId="56" fillId="19" borderId="19" xfId="2866" applyFont="1" applyFill="1" applyBorder="1" applyAlignment="1">
      <alignment horizontal="center" vertical="center" wrapText="1"/>
    </xf>
    <xf numFmtId="1" fontId="0" fillId="0" borderId="1" xfId="0" applyNumberFormat="1" applyBorder="1" applyAlignment="1">
      <alignment horizontal="center" vertical="center"/>
    </xf>
    <xf numFmtId="0" fontId="56" fillId="17" borderId="18" xfId="0" applyFont="1" applyFill="1" applyBorder="1" applyAlignment="1">
      <alignment horizontal="center" vertical="center"/>
    </xf>
    <xf numFmtId="0" fontId="56" fillId="17" borderId="1" xfId="2866" applyFont="1" applyFill="1" applyBorder="1" applyAlignment="1">
      <alignment horizontal="center" vertical="center" wrapText="1"/>
    </xf>
    <xf numFmtId="0" fontId="18" fillId="17" borderId="50" xfId="16" applyFont="1" applyFill="1" applyBorder="1" applyAlignment="1">
      <alignment horizontal="center" vertical="center" wrapText="1"/>
    </xf>
    <xf numFmtId="174" fontId="76" fillId="17" borderId="1" xfId="0" applyNumberFormat="1" applyFont="1" applyFill="1" applyBorder="1" applyAlignment="1">
      <alignment vertical="center"/>
    </xf>
    <xf numFmtId="174" fontId="76" fillId="18" borderId="1" xfId="0" applyNumberFormat="1" applyFont="1" applyFill="1" applyBorder="1" applyAlignment="1">
      <alignment vertical="center"/>
    </xf>
    <xf numFmtId="0" fontId="4" fillId="2" borderId="0" xfId="16" applyFill="1" applyAlignment="1">
      <alignment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2" fillId="17" borderId="4" xfId="16" applyFont="1" applyFill="1" applyBorder="1" applyAlignment="1">
      <alignment horizontal="center" vertical="center" wrapText="1"/>
    </xf>
    <xf numFmtId="10" fontId="18" fillId="17" borderId="49" xfId="16" applyNumberFormat="1" applyFont="1" applyFill="1" applyBorder="1" applyAlignment="1">
      <alignment horizontal="center" vertical="center" wrapText="1"/>
    </xf>
    <xf numFmtId="0" fontId="2" fillId="21" borderId="48" xfId="0" applyFont="1" applyFill="1" applyBorder="1" applyAlignment="1">
      <alignment horizontal="center" vertical="center" wrapText="1"/>
    </xf>
    <xf numFmtId="0" fontId="11" fillId="3" borderId="12" xfId="0" applyFont="1" applyFill="1" applyBorder="1" applyAlignment="1">
      <alignment horizontal="center" vertical="top" wrapText="1"/>
    </xf>
    <xf numFmtId="0" fontId="0" fillId="0" borderId="1" xfId="0" applyBorder="1" applyAlignment="1" applyProtection="1">
      <alignment horizontal="center" vertical="center"/>
      <protection locked="0"/>
    </xf>
    <xf numFmtId="9" fontId="0" fillId="0" borderId="1" xfId="24"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182" fontId="57" fillId="0" borderId="5" xfId="10" applyNumberFormat="1" applyFont="1" applyFill="1" applyBorder="1" applyAlignment="1" applyProtection="1">
      <alignment horizontal="center" vertical="center"/>
      <protection locked="0"/>
    </xf>
    <xf numFmtId="9" fontId="23" fillId="0" borderId="1" xfId="21" applyFont="1" applyFill="1" applyBorder="1" applyAlignment="1" applyProtection="1">
      <alignment horizontal="center" vertical="center"/>
      <protection locked="0"/>
    </xf>
    <xf numFmtId="42" fontId="16" fillId="0" borderId="1" xfId="0" applyNumberFormat="1" applyFont="1" applyBorder="1" applyAlignment="1">
      <alignment horizontal="center" vertical="center" wrapText="1"/>
    </xf>
    <xf numFmtId="9" fontId="19" fillId="0" borderId="1" xfId="24" applyFont="1" applyBorder="1" applyAlignment="1">
      <alignment horizontal="center" vertical="center"/>
    </xf>
    <xf numFmtId="9" fontId="19" fillId="0" borderId="1" xfId="24" applyFont="1" applyFill="1" applyBorder="1" applyAlignment="1">
      <alignment horizontal="center" vertical="center"/>
    </xf>
    <xf numFmtId="9" fontId="19" fillId="0" borderId="1" xfId="24" applyFont="1" applyFill="1" applyBorder="1" applyAlignment="1" applyProtection="1">
      <alignment horizontal="center" vertical="center"/>
      <protection locked="0"/>
    </xf>
    <xf numFmtId="9" fontId="0" fillId="0" borderId="1" xfId="2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2" fontId="70" fillId="0" borderId="1" xfId="3" applyNumberFormat="1" applyFont="1" applyFill="1" applyBorder="1" applyAlignment="1">
      <alignment horizontal="center" vertical="center"/>
    </xf>
    <xf numFmtId="2" fontId="70" fillId="0" borderId="1" xfId="9" applyNumberFormat="1" applyFont="1" applyFill="1" applyBorder="1" applyAlignment="1">
      <alignment horizontal="center" vertical="center"/>
    </xf>
    <xf numFmtId="10" fontId="57" fillId="0" borderId="1" xfId="21" applyNumberFormat="1" applyFont="1" applyFill="1" applyBorder="1" applyAlignment="1">
      <alignment horizontal="center" vertical="center"/>
    </xf>
    <xf numFmtId="174" fontId="57" fillId="0" borderId="1" xfId="21" applyNumberFormat="1" applyFont="1" applyFill="1" applyBorder="1" applyAlignment="1">
      <alignment horizontal="center" vertical="center"/>
    </xf>
    <xf numFmtId="10" fontId="57" fillId="0" borderId="1" xfId="21" applyNumberFormat="1" applyFont="1" applyFill="1" applyBorder="1" applyAlignment="1">
      <alignment horizontal="center" vertical="center" wrapText="1"/>
    </xf>
    <xf numFmtId="180" fontId="70" fillId="0" borderId="1" xfId="9" applyNumberFormat="1" applyFont="1" applyFill="1" applyBorder="1" applyAlignment="1">
      <alignment horizontal="center" vertical="center"/>
    </xf>
    <xf numFmtId="180" fontId="3" fillId="0" borderId="1" xfId="2865" applyNumberFormat="1" applyFont="1" applyFill="1" applyBorder="1" applyAlignment="1">
      <alignment horizontal="center" vertical="center" wrapText="1"/>
    </xf>
    <xf numFmtId="180" fontId="3" fillId="0" borderId="1" xfId="9" applyNumberFormat="1" applyFont="1" applyFill="1" applyBorder="1" applyAlignment="1">
      <alignment horizontal="center" vertical="center"/>
    </xf>
    <xf numFmtId="1" fontId="3" fillId="0" borderId="1" xfId="9" applyNumberFormat="1" applyFont="1" applyFill="1" applyBorder="1" applyAlignment="1">
      <alignment horizontal="center" vertical="center" wrapText="1"/>
    </xf>
    <xf numFmtId="2" fontId="3" fillId="0" borderId="1" xfId="10" applyNumberFormat="1" applyFont="1" applyFill="1" applyBorder="1" applyAlignment="1">
      <alignment horizontal="center" vertical="center" wrapText="1"/>
    </xf>
    <xf numFmtId="180" fontId="57" fillId="4" borderId="65" xfId="0" applyNumberFormat="1" applyFont="1" applyFill="1" applyBorder="1" applyAlignment="1">
      <alignment horizontal="center" vertical="center" wrapText="1"/>
    </xf>
    <xf numFmtId="180" fontId="57" fillId="4" borderId="49" xfId="0" applyNumberFormat="1" applyFont="1" applyFill="1" applyBorder="1" applyAlignment="1">
      <alignment horizontal="center" vertical="center" wrapText="1"/>
    </xf>
    <xf numFmtId="182" fontId="70" fillId="4" borderId="49" xfId="10" applyNumberFormat="1" applyFont="1" applyFill="1" applyBorder="1" applyAlignment="1">
      <alignment horizontal="center" vertical="center"/>
    </xf>
    <xf numFmtId="10" fontId="57" fillId="4" borderId="49" xfId="21" applyNumberFormat="1" applyFont="1" applyFill="1" applyBorder="1" applyAlignment="1">
      <alignment horizontal="center" vertical="center"/>
    </xf>
    <xf numFmtId="174" fontId="57" fillId="4" borderId="49" xfId="21" applyNumberFormat="1" applyFont="1" applyFill="1" applyBorder="1" applyAlignment="1">
      <alignment horizontal="center" vertical="center"/>
    </xf>
    <xf numFmtId="10" fontId="57" fillId="4" borderId="49" xfId="21" applyNumberFormat="1" applyFont="1" applyFill="1" applyBorder="1" applyAlignment="1">
      <alignment horizontal="center" vertical="center" wrapText="1"/>
    </xf>
    <xf numFmtId="10" fontId="57" fillId="4" borderId="50" xfId="21" applyNumberFormat="1" applyFont="1" applyFill="1" applyBorder="1" applyAlignment="1">
      <alignment horizontal="center" vertical="center" wrapText="1"/>
    </xf>
    <xf numFmtId="176" fontId="70" fillId="0" borderId="5" xfId="3" applyNumberFormat="1" applyFont="1" applyFill="1" applyBorder="1" applyAlignment="1">
      <alignment horizontal="center" vertical="center"/>
    </xf>
    <xf numFmtId="4" fontId="70" fillId="0" borderId="5" xfId="9" applyNumberFormat="1" applyFont="1" applyFill="1" applyBorder="1" applyAlignment="1">
      <alignment horizontal="center" vertical="center"/>
    </xf>
    <xf numFmtId="2" fontId="70" fillId="0" borderId="5" xfId="9" applyNumberFormat="1" applyFont="1" applyFill="1" applyBorder="1" applyAlignment="1">
      <alignment horizontal="center" vertical="center"/>
    </xf>
    <xf numFmtId="1" fontId="3" fillId="0" borderId="5" xfId="2865" applyNumberFormat="1" applyFont="1" applyFill="1" applyBorder="1" applyAlignment="1">
      <alignment horizontal="center" vertical="center" wrapText="1"/>
    </xf>
    <xf numFmtId="10" fontId="57" fillId="0" borderId="5" xfId="21" applyNumberFormat="1" applyFont="1" applyFill="1" applyBorder="1" applyAlignment="1">
      <alignment horizontal="center" vertical="center"/>
    </xf>
    <xf numFmtId="174" fontId="57" fillId="0" borderId="5" xfId="21" applyNumberFormat="1" applyFont="1" applyFill="1" applyBorder="1" applyAlignment="1">
      <alignment horizontal="center" vertical="center"/>
    </xf>
    <xf numFmtId="10" fontId="57" fillId="0" borderId="5" xfId="21" applyNumberFormat="1" applyFont="1" applyFill="1" applyBorder="1" applyAlignment="1">
      <alignment horizontal="center" vertical="center" wrapText="1"/>
    </xf>
    <xf numFmtId="182" fontId="70" fillId="0" borderId="1" xfId="9" applyNumberFormat="1" applyFont="1" applyFill="1" applyBorder="1" applyAlignment="1">
      <alignment horizontal="center" vertical="center"/>
    </xf>
    <xf numFmtId="182" fontId="70" fillId="0" borderId="1" xfId="10" applyNumberFormat="1" applyFont="1" applyFill="1" applyBorder="1" applyAlignment="1">
      <alignment horizontal="center" vertical="center"/>
    </xf>
    <xf numFmtId="182" fontId="3" fillId="0" borderId="1" xfId="2865" applyNumberFormat="1"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82" fontId="70" fillId="0" borderId="1" xfId="3" applyNumberFormat="1" applyFont="1" applyFill="1" applyBorder="1" applyAlignment="1">
      <alignment horizontal="center" vertical="center"/>
    </xf>
    <xf numFmtId="182" fontId="3" fillId="0" borderId="1" xfId="9" applyNumberFormat="1" applyFont="1" applyFill="1" applyBorder="1" applyAlignment="1">
      <alignment horizontal="center" vertical="center"/>
    </xf>
    <xf numFmtId="2" fontId="3" fillId="0" borderId="1" xfId="9" applyNumberFormat="1" applyFont="1" applyFill="1" applyBorder="1" applyAlignment="1">
      <alignment horizontal="center" vertical="center" wrapText="1"/>
    </xf>
    <xf numFmtId="2" fontId="3" fillId="0" borderId="1" xfId="3" applyNumberFormat="1" applyFont="1" applyFill="1" applyBorder="1" applyAlignment="1">
      <alignment horizontal="center" vertical="center"/>
    </xf>
    <xf numFmtId="2" fontId="3" fillId="0" borderId="1" xfId="2865" applyNumberFormat="1" applyFont="1" applyFill="1" applyBorder="1" applyAlignment="1">
      <alignment horizontal="center" vertical="center" wrapText="1"/>
    </xf>
    <xf numFmtId="176" fontId="70" fillId="0" borderId="1" xfId="3" applyNumberFormat="1" applyFont="1" applyFill="1" applyBorder="1" applyAlignment="1">
      <alignment horizontal="center" vertical="center"/>
    </xf>
    <xf numFmtId="42" fontId="3" fillId="0" borderId="1" xfId="2865" applyFont="1" applyFill="1" applyBorder="1" applyAlignment="1">
      <alignment horizontal="center" vertical="center" wrapText="1"/>
    </xf>
    <xf numFmtId="2" fontId="70" fillId="0" borderId="5" xfId="10" applyNumberFormat="1" applyFont="1" applyFill="1" applyBorder="1" applyAlignment="1">
      <alignment horizontal="center" vertical="center"/>
    </xf>
    <xf numFmtId="2" fontId="70" fillId="0" borderId="5" xfId="3" applyNumberFormat="1" applyFont="1" applyFill="1" applyBorder="1" applyAlignment="1">
      <alignment horizontal="center" vertical="center"/>
    </xf>
    <xf numFmtId="37" fontId="70" fillId="0" borderId="5" xfId="9" applyNumberFormat="1" applyFont="1" applyFill="1" applyBorder="1" applyAlignment="1">
      <alignment horizontal="center" vertical="center"/>
    </xf>
    <xf numFmtId="187" fontId="70" fillId="0" borderId="5" xfId="9" applyNumberFormat="1" applyFont="1" applyFill="1" applyBorder="1" applyAlignment="1">
      <alignment horizontal="center" vertical="center"/>
    </xf>
    <xf numFmtId="2" fontId="3" fillId="0" borderId="5" xfId="2865" applyNumberFormat="1" applyFont="1" applyFill="1" applyBorder="1" applyAlignment="1">
      <alignment horizontal="center" vertical="center" wrapText="1"/>
    </xf>
    <xf numFmtId="180" fontId="70" fillId="0" borderId="1" xfId="10" applyNumberFormat="1" applyFont="1" applyFill="1" applyBorder="1" applyAlignment="1">
      <alignment horizontal="center" vertical="center"/>
    </xf>
    <xf numFmtId="180" fontId="57" fillId="0" borderId="1" xfId="10" applyNumberFormat="1" applyFont="1" applyFill="1" applyBorder="1" applyAlignment="1">
      <alignment vertical="center" wrapText="1"/>
    </xf>
    <xf numFmtId="180" fontId="70" fillId="0" borderId="1" xfId="3" applyNumberFormat="1" applyFont="1" applyFill="1" applyBorder="1" applyAlignment="1">
      <alignment horizontal="center" vertical="center"/>
    </xf>
    <xf numFmtId="2" fontId="70" fillId="0" borderId="1" xfId="10" applyNumberFormat="1" applyFont="1" applyFill="1" applyBorder="1" applyAlignment="1">
      <alignment horizontal="center" vertical="center"/>
    </xf>
    <xf numFmtId="180" fontId="3" fillId="23" borderId="17" xfId="9" applyNumberFormat="1" applyFont="1" applyFill="1" applyBorder="1" applyAlignment="1">
      <alignment horizontal="center" vertical="center" wrapText="1"/>
    </xf>
    <xf numFmtId="180" fontId="3" fillId="23" borderId="17" xfId="9" applyNumberFormat="1" applyFont="1" applyFill="1" applyBorder="1" applyAlignment="1" applyProtection="1">
      <alignment horizontal="center" vertical="center" wrapText="1"/>
      <protection locked="0"/>
    </xf>
    <xf numFmtId="180" fontId="3" fillId="23" borderId="60" xfId="9" applyNumberFormat="1" applyFont="1" applyFill="1" applyBorder="1" applyAlignment="1">
      <alignment horizontal="center" vertical="center" wrapText="1"/>
    </xf>
    <xf numFmtId="180" fontId="3" fillId="0" borderId="17" xfId="9" applyNumberFormat="1" applyFont="1" applyFill="1" applyBorder="1" applyAlignment="1">
      <alignment horizontal="center" vertical="center" wrapText="1"/>
    </xf>
    <xf numFmtId="180" fontId="3" fillId="23" borderId="65" xfId="9" applyNumberFormat="1" applyFont="1" applyFill="1" applyBorder="1" applyAlignment="1">
      <alignment horizontal="center" vertical="center" wrapText="1"/>
    </xf>
    <xf numFmtId="180" fontId="3" fillId="23" borderId="65" xfId="9" applyNumberFormat="1" applyFont="1" applyFill="1" applyBorder="1" applyAlignment="1" applyProtection="1">
      <alignment horizontal="center" vertical="center" wrapText="1"/>
      <protection locked="0"/>
    </xf>
    <xf numFmtId="180" fontId="3" fillId="23" borderId="70" xfId="9" applyNumberFormat="1" applyFont="1" applyFill="1" applyBorder="1" applyAlignment="1">
      <alignment horizontal="center" vertical="center" wrapText="1"/>
    </xf>
    <xf numFmtId="0" fontId="18" fillId="17" borderId="71" xfId="0" applyFont="1" applyFill="1" applyBorder="1" applyAlignment="1">
      <alignment horizontal="left" vertical="top" wrapText="1"/>
    </xf>
    <xf numFmtId="3" fontId="2" fillId="0" borderId="71" xfId="0" applyNumberFormat="1" applyFont="1" applyBorder="1" applyAlignment="1">
      <alignment horizontal="center" vertical="center" wrapText="1"/>
    </xf>
    <xf numFmtId="0" fontId="45" fillId="16" borderId="71" xfId="0" applyFont="1" applyFill="1" applyBorder="1" applyAlignment="1">
      <alignment horizontal="center" vertical="center"/>
    </xf>
    <xf numFmtId="4" fontId="43" fillId="0" borderId="0" xfId="0" applyNumberFormat="1" applyFont="1"/>
    <xf numFmtId="4" fontId="43" fillId="0" borderId="0" xfId="0" applyNumberFormat="1" applyFont="1" applyAlignment="1">
      <alignment horizontal="center"/>
    </xf>
    <xf numFmtId="1" fontId="43" fillId="15" borderId="0" xfId="0" applyNumberFormat="1" applyFont="1" applyFill="1" applyAlignment="1">
      <alignment horizontal="center"/>
    </xf>
    <xf numFmtId="0" fontId="43" fillId="15" borderId="0" xfId="0" applyFont="1" applyFill="1" applyAlignment="1">
      <alignment horizontal="left" vertical="top"/>
    </xf>
    <xf numFmtId="0" fontId="43" fillId="0" borderId="0" xfId="0" applyFont="1" applyAlignment="1">
      <alignment horizontal="left" vertical="top"/>
    </xf>
    <xf numFmtId="180" fontId="43" fillId="15" borderId="0" xfId="0" applyNumberFormat="1" applyFont="1" applyFill="1"/>
    <xf numFmtId="180" fontId="43" fillId="0" borderId="0" xfId="0" applyNumberFormat="1" applyFont="1"/>
    <xf numFmtId="0" fontId="2" fillId="17" borderId="31" xfId="0" applyFont="1" applyFill="1" applyBorder="1" applyAlignment="1" applyProtection="1">
      <alignment horizontal="left" vertical="center" wrapText="1"/>
      <protection locked="0"/>
    </xf>
    <xf numFmtId="0" fontId="2" fillId="18" borderId="78" xfId="0" applyFont="1" applyFill="1" applyBorder="1" applyAlignment="1" applyProtection="1">
      <alignment horizontal="left" vertical="center" wrapText="1"/>
      <protection locked="0"/>
    </xf>
    <xf numFmtId="0" fontId="2" fillId="17" borderId="78" xfId="0" applyFont="1" applyFill="1" applyBorder="1" applyAlignment="1" applyProtection="1">
      <alignment horizontal="left" vertical="center" wrapText="1"/>
      <protection locked="0"/>
    </xf>
    <xf numFmtId="182" fontId="57" fillId="0" borderId="5" xfId="10" applyNumberFormat="1" applyFont="1" applyFill="1" applyBorder="1" applyAlignment="1" applyProtection="1">
      <alignment horizontal="center" vertical="center"/>
    </xf>
    <xf numFmtId="9" fontId="23" fillId="0" borderId="1" xfId="21" applyFont="1" applyFill="1" applyBorder="1" applyAlignment="1" applyProtection="1">
      <alignment horizontal="center" vertical="center"/>
    </xf>
    <xf numFmtId="43" fontId="0" fillId="0" borderId="0" xfId="0" applyNumberFormat="1"/>
    <xf numFmtId="0" fontId="72" fillId="27" borderId="0" xfId="0" applyFont="1" applyFill="1" applyAlignment="1">
      <alignment horizontal="center" vertical="center"/>
    </xf>
    <xf numFmtId="174" fontId="86" fillId="0" borderId="3" xfId="0" applyNumberFormat="1" applyFont="1" applyBorder="1" applyAlignment="1">
      <alignment horizontal="center" vertical="center" wrapText="1"/>
    </xf>
    <xf numFmtId="4" fontId="2" fillId="0" borderId="71" xfId="0" applyNumberFormat="1" applyFont="1" applyBorder="1" applyAlignment="1">
      <alignment horizontal="center" vertical="center" wrapText="1"/>
    </xf>
    <xf numFmtId="176" fontId="54" fillId="0" borderId="71" xfId="5" applyNumberFormat="1" applyFont="1" applyFill="1" applyBorder="1" applyAlignment="1">
      <alignment vertical="center" wrapText="1"/>
    </xf>
    <xf numFmtId="174" fontId="86" fillId="0" borderId="35" xfId="0" applyNumberFormat="1" applyFont="1" applyBorder="1" applyAlignment="1">
      <alignment horizontal="center" vertical="center"/>
    </xf>
    <xf numFmtId="183" fontId="2" fillId="0" borderId="71" xfId="0" applyNumberFormat="1" applyFont="1" applyBorder="1" applyAlignment="1">
      <alignment horizontal="center" vertical="center" wrapText="1"/>
    </xf>
    <xf numFmtId="176" fontId="57" fillId="0" borderId="71" xfId="5" applyNumberFormat="1" applyFont="1" applyBorder="1" applyAlignment="1">
      <alignment horizontal="center" vertical="center" wrapText="1"/>
    </xf>
    <xf numFmtId="9" fontId="0" fillId="0" borderId="0" xfId="24" applyFont="1"/>
    <xf numFmtId="0" fontId="12" fillId="0" borderId="21" xfId="16" applyFont="1" applyBorder="1" applyAlignment="1">
      <alignment vertical="center" wrapText="1"/>
    </xf>
    <xf numFmtId="2" fontId="0" fillId="0" borderId="71" xfId="24" applyNumberFormat="1" applyFont="1" applyFill="1" applyBorder="1" applyAlignment="1">
      <alignment horizontal="center"/>
    </xf>
    <xf numFmtId="0" fontId="12" fillId="0" borderId="5" xfId="16" applyFont="1" applyBorder="1" applyAlignment="1">
      <alignment vertical="center" wrapText="1"/>
    </xf>
    <xf numFmtId="3" fontId="0" fillId="0" borderId="0" xfId="0" applyNumberFormat="1" applyAlignment="1">
      <alignment horizontal="center"/>
    </xf>
    <xf numFmtId="171" fontId="0" fillId="0" borderId="0" xfId="5" applyFont="1"/>
    <xf numFmtId="43" fontId="0" fillId="0" borderId="71" xfId="0" applyNumberFormat="1" applyBorder="1"/>
    <xf numFmtId="0" fontId="23" fillId="4" borderId="0" xfId="0" applyFont="1" applyFill="1" applyAlignment="1">
      <alignment horizontal="center" vertical="center"/>
    </xf>
    <xf numFmtId="0" fontId="0" fillId="4" borderId="0" xfId="0" applyFill="1"/>
    <xf numFmtId="171" fontId="23" fillId="4" borderId="0" xfId="5" applyFont="1" applyFill="1" applyAlignment="1">
      <alignment horizontal="center" vertical="center"/>
    </xf>
    <xf numFmtId="171" fontId="87" fillId="4" borderId="5" xfId="5" applyFont="1" applyFill="1" applyBorder="1" applyAlignment="1">
      <alignment horizontal="center" vertical="center" wrapText="1"/>
    </xf>
    <xf numFmtId="0" fontId="0" fillId="4" borderId="0" xfId="0" applyFill="1" applyAlignment="1">
      <alignment horizontal="center" vertical="center"/>
    </xf>
    <xf numFmtId="3" fontId="0" fillId="0" borderId="0" xfId="0" applyNumberFormat="1"/>
    <xf numFmtId="10" fontId="57" fillId="30" borderId="71" xfId="16" applyNumberFormat="1" applyFont="1" applyFill="1" applyBorder="1" applyAlignment="1">
      <alignment horizontal="center" vertical="center" wrapText="1"/>
    </xf>
    <xf numFmtId="10" fontId="86" fillId="0" borderId="3" xfId="0" applyNumberFormat="1" applyFont="1" applyBorder="1" applyAlignment="1">
      <alignment horizontal="center" vertical="center"/>
    </xf>
    <xf numFmtId="9" fontId="89" fillId="0" borderId="51" xfId="16" applyNumberFormat="1" applyFont="1" applyBorder="1" applyAlignment="1">
      <alignment horizontal="center" vertical="center" wrapText="1"/>
    </xf>
    <xf numFmtId="10" fontId="57" fillId="0" borderId="71" xfId="16" applyNumberFormat="1" applyFont="1" applyBorder="1" applyAlignment="1">
      <alignment horizontal="center" vertical="center" wrapText="1"/>
    </xf>
    <xf numFmtId="174" fontId="86" fillId="0" borderId="71" xfId="24" applyNumberFormat="1" applyFont="1" applyFill="1" applyBorder="1" applyAlignment="1">
      <alignment horizontal="center" vertical="center"/>
    </xf>
    <xf numFmtId="0" fontId="88" fillId="4" borderId="21" xfId="16" applyFont="1" applyFill="1" applyBorder="1" applyAlignment="1">
      <alignment horizontal="center" vertical="top" wrapText="1"/>
    </xf>
    <xf numFmtId="9" fontId="89" fillId="4" borderId="57" xfId="16" applyNumberFormat="1" applyFont="1" applyFill="1" applyBorder="1" applyAlignment="1">
      <alignment horizontal="center" vertical="center" wrapText="1"/>
    </xf>
    <xf numFmtId="171" fontId="87" fillId="4" borderId="71" xfId="5" applyFont="1" applyFill="1" applyBorder="1" applyAlignment="1">
      <alignment horizontal="center" vertical="center" wrapText="1"/>
    </xf>
    <xf numFmtId="10" fontId="72" fillId="4" borderId="21" xfId="16" applyNumberFormat="1" applyFont="1" applyFill="1" applyBorder="1" applyAlignment="1">
      <alignment horizontal="center" vertical="center" wrapText="1"/>
    </xf>
    <xf numFmtId="10" fontId="86" fillId="0" borderId="33" xfId="0" applyNumberFormat="1" applyFont="1" applyBorder="1" applyAlignment="1">
      <alignment horizontal="center" vertical="center"/>
    </xf>
    <xf numFmtId="9" fontId="89" fillId="0" borderId="75" xfId="16" applyNumberFormat="1" applyFont="1" applyBorder="1" applyAlignment="1">
      <alignment horizontal="center" vertical="center" wrapText="1"/>
    </xf>
    <xf numFmtId="9" fontId="86" fillId="0" borderId="71" xfId="24" applyFont="1" applyFill="1" applyBorder="1" applyAlignment="1">
      <alignment horizontal="center" vertical="center"/>
    </xf>
    <xf numFmtId="0" fontId="12" fillId="4" borderId="0" xfId="16" applyFont="1" applyFill="1" applyAlignment="1">
      <alignment horizontal="center" wrapText="1"/>
    </xf>
    <xf numFmtId="9" fontId="89" fillId="4" borderId="75" xfId="16" applyNumberFormat="1" applyFont="1" applyFill="1" applyBorder="1" applyAlignment="1">
      <alignment horizontal="center" vertical="center" wrapText="1"/>
    </xf>
    <xf numFmtId="171" fontId="87" fillId="0" borderId="71" xfId="5" applyFont="1" applyFill="1" applyBorder="1" applyAlignment="1">
      <alignment horizontal="center" vertical="center" wrapText="1"/>
    </xf>
    <xf numFmtId="9" fontId="87" fillId="0" borderId="73" xfId="24" applyFont="1" applyFill="1" applyBorder="1" applyAlignment="1">
      <alignment horizontal="center" vertical="center" wrapText="1"/>
    </xf>
    <xf numFmtId="0" fontId="15" fillId="0" borderId="0" xfId="16" applyFont="1" applyAlignment="1">
      <alignment horizontal="center" wrapText="1"/>
    </xf>
    <xf numFmtId="0" fontId="12" fillId="0" borderId="0" xfId="16" applyFont="1" applyAlignment="1">
      <alignment horizontal="center" wrapText="1"/>
    </xf>
    <xf numFmtId="171" fontId="91" fillId="0" borderId="73" xfId="16" applyNumberFormat="1" applyFont="1" applyBorder="1" applyAlignment="1">
      <alignment horizontal="center" vertical="center" wrapText="1"/>
    </xf>
    <xf numFmtId="171" fontId="91" fillId="0" borderId="0" xfId="16" applyNumberFormat="1" applyFont="1" applyAlignment="1">
      <alignment horizontal="center" vertical="center" wrapText="1"/>
    </xf>
    <xf numFmtId="0" fontId="12" fillId="4" borderId="71" xfId="16" applyFont="1" applyFill="1" applyBorder="1" applyAlignment="1">
      <alignment horizontal="center" wrapText="1"/>
    </xf>
    <xf numFmtId="9" fontId="89" fillId="4" borderId="71" xfId="16" applyNumberFormat="1" applyFont="1" applyFill="1" applyBorder="1" applyAlignment="1">
      <alignment horizontal="center" vertical="center" wrapText="1"/>
    </xf>
    <xf numFmtId="171" fontId="23" fillId="4" borderId="71" xfId="5" applyFont="1" applyFill="1" applyBorder="1" applyAlignment="1">
      <alignment horizontal="center" vertical="center"/>
    </xf>
    <xf numFmtId="174" fontId="86" fillId="0" borderId="71" xfId="0" applyNumberFormat="1" applyFont="1" applyBorder="1" applyAlignment="1">
      <alignment horizontal="center" vertical="center" wrapText="1"/>
    </xf>
    <xf numFmtId="9" fontId="57" fillId="0" borderId="71" xfId="0" applyNumberFormat="1" applyFont="1" applyBorder="1" applyAlignment="1">
      <alignment horizontal="justify" vertical="center" wrapText="1"/>
    </xf>
    <xf numFmtId="10" fontId="92" fillId="0" borderId="71" xfId="16" applyNumberFormat="1" applyFont="1" applyBorder="1" applyAlignment="1">
      <alignment horizontal="center" vertical="center" wrapText="1"/>
    </xf>
    <xf numFmtId="174" fontId="86" fillId="0" borderId="71" xfId="0" applyNumberFormat="1" applyFont="1" applyBorder="1" applyAlignment="1">
      <alignment horizontal="center" vertical="center"/>
    </xf>
    <xf numFmtId="9" fontId="89" fillId="0" borderId="71" xfId="16" applyNumberFormat="1" applyFont="1" applyBorder="1" applyAlignment="1">
      <alignment horizontal="center" vertical="center" wrapText="1"/>
    </xf>
    <xf numFmtId="10" fontId="0" fillId="29" borderId="71" xfId="24" applyNumberFormat="1" applyFont="1" applyFill="1" applyBorder="1" applyAlignment="1">
      <alignment horizontal="center" vertical="center"/>
    </xf>
    <xf numFmtId="9" fontId="23" fillId="32" borderId="71" xfId="24" applyFont="1" applyFill="1" applyBorder="1" applyAlignment="1">
      <alignment horizontal="center" vertical="center"/>
    </xf>
    <xf numFmtId="180" fontId="0" fillId="0" borderId="0" xfId="0" applyNumberFormat="1"/>
    <xf numFmtId="174" fontId="0" fillId="29" borderId="71" xfId="24" applyNumberFormat="1" applyFont="1" applyFill="1" applyBorder="1" applyAlignment="1">
      <alignment horizontal="center" vertical="center"/>
    </xf>
    <xf numFmtId="9" fontId="0" fillId="29" borderId="71" xfId="24" applyFont="1" applyFill="1" applyBorder="1" applyAlignment="1">
      <alignment horizontal="center" vertical="center"/>
    </xf>
    <xf numFmtId="0" fontId="20" fillId="31" borderId="0" xfId="0" applyFont="1" applyFill="1"/>
    <xf numFmtId="9" fontId="0" fillId="32" borderId="0" xfId="0" applyNumberFormat="1" applyFill="1" applyAlignment="1">
      <alignment horizontal="center" vertical="center"/>
    </xf>
    <xf numFmtId="171" fontId="23" fillId="33" borderId="0" xfId="5" applyFont="1" applyFill="1" applyAlignment="1">
      <alignment horizontal="center" vertical="center"/>
    </xf>
    <xf numFmtId="2" fontId="0" fillId="0" borderId="0" xfId="0" applyNumberFormat="1"/>
    <xf numFmtId="181" fontId="0" fillId="0" borderId="0" xfId="0" applyNumberFormat="1" applyAlignment="1">
      <alignment horizontal="center" vertical="center"/>
    </xf>
    <xf numFmtId="181" fontId="0" fillId="0" borderId="0" xfId="0" applyNumberFormat="1"/>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89" fontId="70" fillId="0" borderId="34" xfId="24" applyNumberFormat="1" applyFont="1" applyFill="1" applyBorder="1" applyAlignment="1">
      <alignment horizontal="center" vertical="center"/>
    </xf>
    <xf numFmtId="171" fontId="70" fillId="0" borderId="34" xfId="5" applyFont="1" applyFill="1" applyBorder="1" applyAlignment="1">
      <alignment horizontal="center" vertical="center"/>
    </xf>
    <xf numFmtId="179" fontId="70" fillId="0" borderId="34" xfId="3" applyNumberFormat="1" applyFont="1" applyFill="1" applyBorder="1" applyAlignment="1">
      <alignment horizontal="center" vertical="center"/>
    </xf>
    <xf numFmtId="2" fontId="70" fillId="0" borderId="34" xfId="5" applyNumberFormat="1" applyFont="1" applyFill="1" applyBorder="1" applyAlignment="1">
      <alignment horizontal="center" vertical="center"/>
    </xf>
    <xf numFmtId="171" fontId="70" fillId="0" borderId="34" xfId="5" applyFont="1" applyFill="1" applyBorder="1" applyAlignment="1">
      <alignment horizontal="left" vertical="center"/>
    </xf>
    <xf numFmtId="171" fontId="70" fillId="0" borderId="34" xfId="3" applyFont="1" applyFill="1" applyBorder="1" applyAlignment="1">
      <alignment horizontal="center" vertical="center"/>
    </xf>
    <xf numFmtId="171" fontId="3" fillId="0" borderId="34" xfId="3" applyFont="1" applyFill="1" applyBorder="1" applyAlignment="1">
      <alignment horizontal="center" vertical="center" wrapText="1"/>
    </xf>
    <xf numFmtId="9" fontId="27" fillId="0" borderId="34" xfId="21" applyFont="1" applyFill="1" applyBorder="1" applyAlignment="1">
      <alignment horizontal="center" vertical="center"/>
    </xf>
    <xf numFmtId="10" fontId="27" fillId="0" borderId="34" xfId="21" applyNumberFormat="1" applyFont="1" applyFill="1" applyBorder="1" applyAlignment="1">
      <alignment horizontal="center" vertical="center"/>
    </xf>
    <xf numFmtId="0" fontId="11" fillId="17" borderId="65" xfId="0" applyFont="1" applyFill="1" applyBorder="1" applyAlignment="1">
      <alignment vertical="center" wrapText="1"/>
    </xf>
    <xf numFmtId="0" fontId="11" fillId="17" borderId="49" xfId="0" applyFont="1" applyFill="1" applyBorder="1" applyAlignment="1">
      <alignment vertical="center" wrapText="1"/>
    </xf>
    <xf numFmtId="0" fontId="11" fillId="18" borderId="50" xfId="0" applyFont="1" applyFill="1" applyBorder="1" applyAlignment="1">
      <alignment horizontal="center" vertical="center" wrapText="1"/>
    </xf>
    <xf numFmtId="0" fontId="11" fillId="18" borderId="55"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17" borderId="81"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17" borderId="70"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1" fillId="20" borderId="70" xfId="0" applyFont="1" applyFill="1" applyBorder="1" applyAlignment="1">
      <alignment horizontal="center" vertical="center" wrapText="1"/>
    </xf>
    <xf numFmtId="0" fontId="11" fillId="18" borderId="65" xfId="0" applyFont="1" applyFill="1" applyBorder="1" applyAlignment="1">
      <alignment horizontal="center" vertical="center" wrapText="1"/>
    </xf>
    <xf numFmtId="0" fontId="11" fillId="20" borderId="45"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20" borderId="81"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1" fillId="17" borderId="55" xfId="0" applyFont="1" applyFill="1" applyBorder="1" applyAlignment="1">
      <alignment horizontal="center" vertical="center" wrapText="1"/>
    </xf>
    <xf numFmtId="4" fontId="0" fillId="0" borderId="1" xfId="0" applyNumberFormat="1" applyBorder="1" applyAlignment="1" applyProtection="1">
      <alignment horizontal="center" vertical="center"/>
      <protection locked="0"/>
    </xf>
    <xf numFmtId="42" fontId="47" fillId="17" borderId="71" xfId="0" applyNumberFormat="1" applyFont="1" applyFill="1" applyBorder="1" applyAlignment="1">
      <alignment horizontal="center" vertical="center" wrapText="1"/>
    </xf>
    <xf numFmtId="180" fontId="47" fillId="17" borderId="71" xfId="0" applyNumberFormat="1" applyFont="1" applyFill="1" applyBorder="1" applyAlignment="1">
      <alignment horizontal="center" vertical="center" wrapText="1"/>
    </xf>
    <xf numFmtId="9" fontId="0" fillId="0" borderId="1" xfId="24" applyFont="1" applyFill="1" applyBorder="1" applyAlignment="1" applyProtection="1">
      <alignment horizontal="center" vertical="center"/>
    </xf>
    <xf numFmtId="9" fontId="0" fillId="0" borderId="1" xfId="21" applyFont="1" applyFill="1" applyBorder="1" applyAlignment="1" applyProtection="1">
      <alignment horizontal="center" vertical="center"/>
    </xf>
    <xf numFmtId="176" fontId="0" fillId="0" borderId="0" xfId="0" applyNumberFormat="1"/>
    <xf numFmtId="176" fontId="57" fillId="0" borderId="71" xfId="5" applyNumberFormat="1" applyFont="1" applyBorder="1" applyAlignment="1">
      <alignment vertical="center" wrapText="1"/>
    </xf>
    <xf numFmtId="0" fontId="21" fillId="0" borderId="11" xfId="0" applyFont="1" applyBorder="1" applyAlignment="1" applyProtection="1">
      <alignment horizontal="justify" vertical="center" wrapText="1"/>
      <protection locked="0"/>
    </xf>
    <xf numFmtId="0" fontId="21" fillId="0" borderId="1" xfId="0" applyFont="1" applyBorder="1" applyAlignment="1" applyProtection="1">
      <alignment horizontal="center" vertical="center" wrapText="1"/>
      <protection locked="0"/>
    </xf>
    <xf numFmtId="10" fontId="57" fillId="0" borderId="73" xfId="21" applyNumberFormat="1" applyFont="1" applyFill="1" applyBorder="1" applyAlignment="1">
      <alignment horizontal="center" vertical="center"/>
    </xf>
    <xf numFmtId="174" fontId="57" fillId="0" borderId="73" xfId="21" applyNumberFormat="1" applyFont="1" applyFill="1" applyBorder="1" applyAlignment="1">
      <alignment horizontal="center" vertical="center"/>
    </xf>
    <xf numFmtId="10" fontId="57" fillId="0" borderId="73" xfId="21" applyNumberFormat="1" applyFont="1" applyFill="1" applyBorder="1" applyAlignment="1">
      <alignment horizontal="center" vertical="center" wrapText="1"/>
    </xf>
    <xf numFmtId="3" fontId="3" fillId="0" borderId="73" xfId="10" applyNumberFormat="1" applyFont="1" applyFill="1" applyBorder="1" applyAlignment="1">
      <alignment horizontal="center" vertical="center" wrapText="1"/>
    </xf>
    <xf numFmtId="4" fontId="3" fillId="0" borderId="73" xfId="10" applyNumberFormat="1" applyFont="1" applyFill="1" applyBorder="1" applyAlignment="1">
      <alignment horizontal="center" vertical="center" wrapText="1"/>
    </xf>
    <xf numFmtId="37" fontId="70" fillId="0" borderId="73" xfId="9" applyNumberFormat="1" applyFont="1" applyFill="1" applyBorder="1" applyAlignment="1">
      <alignment horizontal="center" vertical="center"/>
    </xf>
    <xf numFmtId="39" fontId="70" fillId="0" borderId="73" xfId="9" applyNumberFormat="1" applyFont="1" applyFill="1" applyBorder="1" applyAlignment="1">
      <alignment horizontal="center" vertical="center"/>
    </xf>
    <xf numFmtId="186" fontId="70" fillId="0" borderId="73" xfId="9" applyNumberFormat="1" applyFont="1" applyFill="1" applyBorder="1" applyAlignment="1">
      <alignment horizontal="center" vertical="center"/>
    </xf>
    <xf numFmtId="180" fontId="3" fillId="23" borderId="17" xfId="9" applyNumberFormat="1" applyFont="1" applyFill="1" applyBorder="1" applyAlignment="1" applyProtection="1">
      <alignment horizontal="center" vertical="center" wrapText="1"/>
    </xf>
    <xf numFmtId="180" fontId="3" fillId="23" borderId="65" xfId="9" applyNumberFormat="1" applyFont="1" applyFill="1" applyBorder="1" applyAlignment="1" applyProtection="1">
      <alignment horizontal="center" vertical="center" wrapText="1"/>
    </xf>
    <xf numFmtId="42" fontId="47" fillId="17" borderId="71" xfId="0" applyNumberFormat="1" applyFont="1" applyFill="1" applyBorder="1" applyAlignment="1">
      <alignment vertical="center" wrapText="1"/>
    </xf>
    <xf numFmtId="9" fontId="19" fillId="0" borderId="1" xfId="24" applyFont="1" applyFill="1" applyBorder="1" applyAlignment="1" applyProtection="1">
      <alignment horizontal="center" vertical="center"/>
    </xf>
    <xf numFmtId="0" fontId="0" fillId="0" borderId="1" xfId="0" applyBorder="1" applyAlignment="1" applyProtection="1">
      <alignment vertical="center" wrapText="1"/>
      <protection locked="0"/>
    </xf>
    <xf numFmtId="10" fontId="27" fillId="0" borderId="1" xfId="0" applyNumberFormat="1" applyFont="1" applyBorder="1" applyAlignment="1" applyProtection="1">
      <alignment horizontal="center" vertical="center"/>
      <protection locked="0"/>
    </xf>
    <xf numFmtId="180" fontId="47" fillId="17" borderId="71" xfId="0" applyNumberFormat="1" applyFont="1" applyFill="1" applyBorder="1" applyAlignment="1" applyProtection="1">
      <alignment horizontal="center" vertical="center" wrapText="1"/>
      <protection locked="0"/>
    </xf>
    <xf numFmtId="174" fontId="93" fillId="17" borderId="1" xfId="0" applyNumberFormat="1" applyFont="1" applyFill="1" applyBorder="1" applyAlignment="1">
      <alignment vertical="center"/>
    </xf>
    <xf numFmtId="10" fontId="93" fillId="18" borderId="1" xfId="0" applyNumberFormat="1" applyFont="1" applyFill="1" applyBorder="1" applyAlignment="1">
      <alignment vertical="center"/>
    </xf>
    <xf numFmtId="190" fontId="93" fillId="18" borderId="1" xfId="0" applyNumberFormat="1" applyFont="1" applyFill="1" applyBorder="1" applyAlignment="1">
      <alignment vertical="center"/>
    </xf>
    <xf numFmtId="174" fontId="93" fillId="18" borderId="1" xfId="0" applyNumberFormat="1" applyFont="1" applyFill="1" applyBorder="1" applyAlignment="1">
      <alignment vertical="center"/>
    </xf>
    <xf numFmtId="0" fontId="0" fillId="0" borderId="18" xfId="0" applyBorder="1" applyAlignment="1" applyProtection="1">
      <alignment horizontal="center" vertical="center"/>
      <protection locked="0"/>
    </xf>
    <xf numFmtId="0" fontId="57" fillId="0" borderId="1"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42" fontId="16" fillId="0" borderId="1" xfId="0" applyNumberFormat="1" applyFont="1" applyBorder="1" applyAlignment="1" applyProtection="1">
      <alignment horizontal="center" vertical="center" wrapText="1"/>
      <protection locked="0"/>
    </xf>
    <xf numFmtId="180" fontId="11" fillId="17" borderId="39" xfId="9" applyNumberFormat="1" applyFont="1" applyFill="1" applyBorder="1" applyAlignment="1" applyProtection="1">
      <alignment horizontal="left" vertical="top" wrapText="1"/>
      <protection locked="0"/>
    </xf>
    <xf numFmtId="180" fontId="3" fillId="0" borderId="65" xfId="9" applyNumberFormat="1" applyFont="1" applyFill="1" applyBorder="1" applyAlignment="1">
      <alignment horizontal="center" vertical="center" wrapText="1"/>
    </xf>
    <xf numFmtId="0" fontId="2" fillId="17" borderId="41" xfId="0" applyFont="1" applyFill="1" applyBorder="1" applyAlignment="1" applyProtection="1">
      <alignment horizontal="left" vertical="center" wrapText="1"/>
      <protection locked="0"/>
    </xf>
    <xf numFmtId="0" fontId="2" fillId="17" borderId="15"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34" xfId="19" applyFont="1" applyFill="1" applyBorder="1" applyAlignment="1">
      <alignment horizontal="center" vertical="center" wrapText="1"/>
    </xf>
    <xf numFmtId="0" fontId="2" fillId="17" borderId="83" xfId="0" applyFont="1" applyFill="1" applyBorder="1" applyAlignment="1">
      <alignment horizontal="center" vertical="top" wrapText="1"/>
    </xf>
    <xf numFmtId="180" fontId="4" fillId="17" borderId="4" xfId="16" applyNumberFormat="1" applyFill="1" applyBorder="1" applyAlignment="1">
      <alignment horizontal="center" vertical="center" wrapText="1"/>
    </xf>
    <xf numFmtId="0" fontId="4" fillId="17"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9" xfId="0" applyFont="1" applyFill="1" applyBorder="1" applyAlignment="1">
      <alignment horizontal="center" vertical="center" wrapText="1"/>
    </xf>
    <xf numFmtId="0" fontId="2" fillId="17" borderId="4" xfId="0" applyFont="1" applyFill="1" applyBorder="1" applyAlignment="1">
      <alignment horizontal="center" vertical="top" wrapText="1"/>
    </xf>
    <xf numFmtId="1" fontId="2" fillId="17" borderId="84" xfId="0" applyNumberFormat="1" applyFont="1" applyFill="1" applyBorder="1" applyAlignment="1">
      <alignment horizontal="center" vertical="top" wrapText="1"/>
    </xf>
    <xf numFmtId="10" fontId="4" fillId="17" borderId="44" xfId="16" applyNumberFormat="1" applyFill="1" applyBorder="1" applyAlignment="1">
      <alignment horizontal="center" vertical="center" wrapText="1"/>
    </xf>
    <xf numFmtId="0" fontId="2" fillId="17" borderId="64" xfId="0" applyFont="1" applyFill="1" applyBorder="1" applyAlignment="1">
      <alignment horizontal="center" vertical="center" wrapText="1"/>
    </xf>
    <xf numFmtId="180" fontId="70" fillId="0" borderId="71" xfId="10" applyNumberFormat="1" applyFont="1" applyFill="1" applyBorder="1" applyAlignment="1" applyProtection="1">
      <alignment horizontal="center" vertical="center" wrapText="1"/>
    </xf>
    <xf numFmtId="180" fontId="70" fillId="0" borderId="71" xfId="1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protection locked="0"/>
    </xf>
    <xf numFmtId="9" fontId="0" fillId="3" borderId="1" xfId="24" applyFont="1" applyFill="1" applyBorder="1" applyAlignment="1" applyProtection="1">
      <alignment horizontal="center" vertical="center"/>
      <protection locked="0"/>
    </xf>
    <xf numFmtId="3" fontId="0" fillId="3" borderId="1" xfId="0" applyNumberForma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0" fontId="21" fillId="3" borderId="11" xfId="0" applyFont="1" applyFill="1" applyBorder="1" applyAlignment="1" applyProtection="1">
      <alignment horizontal="justify" vertical="center" wrapText="1"/>
      <protection locked="0"/>
    </xf>
    <xf numFmtId="4" fontId="0" fillId="3" borderId="1" xfId="0" applyNumberFormat="1" applyFill="1" applyBorder="1" applyAlignment="1" applyProtection="1">
      <alignment horizontal="center" vertical="center"/>
      <protection locked="0"/>
    </xf>
    <xf numFmtId="182" fontId="57" fillId="3" borderId="5" xfId="1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locked="0"/>
    </xf>
    <xf numFmtId="9" fontId="23" fillId="3" borderId="1" xfId="21" applyFont="1" applyFill="1" applyBorder="1" applyAlignment="1" applyProtection="1">
      <alignment horizontal="center" vertical="center"/>
      <protection locked="0"/>
    </xf>
    <xf numFmtId="0" fontId="44" fillId="3" borderId="11" xfId="0" applyFont="1" applyFill="1" applyBorder="1" applyAlignment="1">
      <alignment horizontal="center" vertical="center" wrapText="1"/>
    </xf>
    <xf numFmtId="182" fontId="70" fillId="0" borderId="1" xfId="10" applyNumberFormat="1" applyFont="1" applyFill="1" applyBorder="1" applyAlignment="1" applyProtection="1">
      <alignment horizontal="center" vertical="center"/>
      <protection locked="0"/>
    </xf>
    <xf numFmtId="180" fontId="3" fillId="0" borderId="1" xfId="9" applyNumberFormat="1" applyFont="1" applyFill="1" applyBorder="1" applyAlignment="1" applyProtection="1">
      <alignment horizontal="center" vertical="center"/>
      <protection locked="0"/>
    </xf>
    <xf numFmtId="182" fontId="70" fillId="0" borderId="1" xfId="9" applyNumberFormat="1" applyFont="1" applyFill="1" applyBorder="1" applyAlignment="1" applyProtection="1">
      <alignment horizontal="center" vertical="center"/>
      <protection locked="0"/>
    </xf>
    <xf numFmtId="180" fontId="3" fillId="0" borderId="1" xfId="9" applyNumberFormat="1" applyFont="1" applyFill="1" applyBorder="1" applyAlignment="1" applyProtection="1">
      <alignment horizontal="center" vertical="center"/>
    </xf>
    <xf numFmtId="182" fontId="70" fillId="0" borderId="1" xfId="9" applyNumberFormat="1" applyFont="1" applyFill="1" applyBorder="1" applyAlignment="1" applyProtection="1">
      <alignment horizontal="center" vertical="center"/>
    </xf>
    <xf numFmtId="4" fontId="3" fillId="0" borderId="73" xfId="10" applyNumberFormat="1" applyFont="1" applyFill="1" applyBorder="1" applyAlignment="1" applyProtection="1">
      <alignment horizontal="center" vertical="center" wrapText="1"/>
      <protection locked="0"/>
    </xf>
    <xf numFmtId="4" fontId="3" fillId="0" borderId="73" xfId="10" applyNumberFormat="1" applyFont="1" applyFill="1" applyBorder="1" applyAlignment="1" applyProtection="1">
      <alignment horizontal="center" vertical="center" wrapText="1"/>
    </xf>
    <xf numFmtId="180" fontId="70" fillId="0" borderId="1" xfId="10" applyNumberFormat="1" applyFont="1" applyFill="1" applyBorder="1" applyAlignment="1" applyProtection="1">
      <alignment horizontal="center" vertical="center"/>
      <protection locked="0"/>
    </xf>
    <xf numFmtId="2" fontId="70" fillId="0" borderId="1" xfId="9" applyNumberFormat="1" applyFont="1" applyFill="1" applyBorder="1" applyAlignment="1" applyProtection="1">
      <alignment horizontal="center" vertical="center"/>
      <protection locked="0"/>
    </xf>
    <xf numFmtId="2" fontId="70" fillId="0" borderId="1" xfId="9" applyNumberFormat="1" applyFont="1" applyFill="1" applyBorder="1" applyAlignment="1" applyProtection="1">
      <alignment horizontal="center" vertical="center"/>
    </xf>
    <xf numFmtId="180" fontId="57" fillId="4" borderId="49" xfId="0" applyNumberFormat="1" applyFont="1" applyFill="1" applyBorder="1" applyAlignment="1" applyProtection="1">
      <alignment horizontal="center" vertical="center" wrapText="1"/>
      <protection locked="0"/>
    </xf>
    <xf numFmtId="170" fontId="70" fillId="4" borderId="49" xfId="9" applyFont="1" applyFill="1" applyBorder="1" applyAlignment="1">
      <alignment horizontal="center" vertical="center"/>
    </xf>
    <xf numFmtId="180" fontId="70" fillId="0" borderId="71" xfId="10" applyNumberFormat="1" applyFont="1" applyFill="1" applyBorder="1" applyAlignment="1">
      <alignment horizontal="center" vertical="center" wrapText="1"/>
    </xf>
    <xf numFmtId="0" fontId="11" fillId="21" borderId="58" xfId="0" applyFont="1" applyFill="1" applyBorder="1" applyAlignment="1">
      <alignment horizontal="center" vertical="top" wrapText="1"/>
    </xf>
    <xf numFmtId="0" fontId="11" fillId="20" borderId="22" xfId="0" applyFont="1" applyFill="1" applyBorder="1" applyAlignment="1">
      <alignment horizontal="center" vertical="top" wrapText="1"/>
    </xf>
    <xf numFmtId="0" fontId="11" fillId="17" borderId="58" xfId="0" applyFont="1" applyFill="1" applyBorder="1" applyAlignment="1">
      <alignment horizontal="center" vertical="top" wrapText="1"/>
    </xf>
    <xf numFmtId="0" fontId="11" fillId="20" borderId="61" xfId="0" applyFont="1" applyFill="1" applyBorder="1" applyAlignment="1">
      <alignment horizontal="center" vertical="top" wrapText="1"/>
    </xf>
    <xf numFmtId="1" fontId="57" fillId="0" borderId="5" xfId="0" applyNumberFormat="1" applyFont="1" applyBorder="1" applyAlignment="1">
      <alignment horizontal="center" vertical="center" wrapText="1"/>
    </xf>
    <xf numFmtId="1" fontId="57" fillId="0" borderId="5" xfId="0" applyNumberFormat="1" applyFont="1" applyBorder="1" applyAlignment="1" applyProtection="1">
      <alignment horizontal="center" vertical="center" wrapText="1"/>
      <protection locked="0"/>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3" fontId="27" fillId="0" borderId="5" xfId="0" applyNumberFormat="1" applyFont="1" applyBorder="1" applyAlignment="1">
      <alignment horizontal="center" vertical="center" wrapText="1"/>
    </xf>
    <xf numFmtId="180" fontId="0" fillId="0" borderId="71" xfId="0" applyNumberFormat="1" applyBorder="1" applyAlignment="1">
      <alignment horizontal="center" vertical="center" wrapText="1"/>
    </xf>
    <xf numFmtId="3" fontId="27" fillId="0" borderId="71" xfId="0" applyNumberFormat="1" applyFont="1" applyBorder="1" applyAlignment="1">
      <alignment horizontal="center" vertical="center" wrapText="1"/>
    </xf>
    <xf numFmtId="1" fontId="57" fillId="0" borderId="71" xfId="0" applyNumberFormat="1" applyFont="1" applyBorder="1" applyAlignment="1">
      <alignment horizontal="center" vertical="center" wrapText="1"/>
    </xf>
    <xf numFmtId="2" fontId="0" fillId="0" borderId="71" xfId="0" applyNumberFormat="1" applyBorder="1" applyAlignment="1">
      <alignment horizontal="center" vertical="center" wrapText="1"/>
    </xf>
    <xf numFmtId="4" fontId="3" fillId="0" borderId="71" xfId="0" applyNumberFormat="1" applyFont="1" applyBorder="1" applyAlignment="1">
      <alignment horizontal="center" vertical="center" wrapText="1"/>
    </xf>
    <xf numFmtId="1" fontId="57" fillId="0" borderId="71" xfId="0" applyNumberFormat="1" applyFont="1" applyBorder="1" applyAlignment="1" applyProtection="1">
      <alignment horizontal="center" vertical="center" wrapText="1"/>
      <protection locked="0"/>
    </xf>
    <xf numFmtId="182" fontId="27" fillId="0" borderId="71" xfId="0" applyNumberFormat="1" applyFont="1" applyBorder="1" applyAlignment="1">
      <alignment horizontal="center" vertical="center" wrapText="1"/>
    </xf>
    <xf numFmtId="2" fontId="27" fillId="0" borderId="71" xfId="0" applyNumberFormat="1" applyFont="1" applyBorder="1" applyAlignment="1">
      <alignment horizontal="center" vertical="center" wrapText="1"/>
    </xf>
    <xf numFmtId="1" fontId="57" fillId="0" borderId="71" xfId="0" applyNumberFormat="1" applyFont="1" applyBorder="1" applyAlignment="1">
      <alignment horizontal="center" vertical="center"/>
    </xf>
    <xf numFmtId="1" fontId="57" fillId="0" borderId="71" xfId="0" applyNumberFormat="1" applyFont="1" applyBorder="1" applyAlignment="1" applyProtection="1">
      <alignment horizontal="center" vertical="center"/>
      <protection locked="0"/>
    </xf>
    <xf numFmtId="3" fontId="3" fillId="0" borderId="71" xfId="0" applyNumberFormat="1" applyFont="1" applyBorder="1" applyAlignment="1">
      <alignment horizontal="center" vertical="center"/>
    </xf>
    <xf numFmtId="3" fontId="3" fillId="0" borderId="71" xfId="0" applyNumberFormat="1" applyFont="1" applyBorder="1" applyAlignment="1" applyProtection="1">
      <alignment horizontal="center" vertical="center"/>
      <protection locked="0"/>
    </xf>
    <xf numFmtId="42" fontId="47" fillId="17" borderId="71" xfId="0" applyNumberFormat="1" applyFont="1" applyFill="1" applyBorder="1" applyAlignment="1" applyProtection="1">
      <alignment horizontal="center" vertical="center" wrapText="1"/>
      <protection locked="0"/>
    </xf>
    <xf numFmtId="9" fontId="0" fillId="0" borderId="0" xfId="21" applyFont="1"/>
    <xf numFmtId="180" fontId="3" fillId="0" borderId="71" xfId="0" applyNumberFormat="1" applyFont="1" applyBorder="1" applyAlignment="1" applyProtection="1">
      <alignment horizontal="center" vertical="center"/>
      <protection locked="0"/>
    </xf>
    <xf numFmtId="180" fontId="3" fillId="0" borderId="71" xfId="0" applyNumberFormat="1" applyFont="1" applyBorder="1" applyAlignment="1">
      <alignment horizontal="center" vertical="center" wrapText="1"/>
    </xf>
    <xf numFmtId="3" fontId="3" fillId="0" borderId="71" xfId="0" applyNumberFormat="1" applyFont="1" applyBorder="1" applyAlignment="1">
      <alignment horizontal="center" vertical="center" wrapText="1"/>
    </xf>
    <xf numFmtId="180" fontId="3" fillId="0" borderId="71" xfId="0" applyNumberFormat="1" applyFont="1" applyBorder="1" applyAlignment="1">
      <alignment horizontal="center" vertical="center"/>
    </xf>
    <xf numFmtId="3" fontId="3" fillId="0" borderId="71" xfId="0" applyNumberFormat="1" applyFont="1" applyBorder="1" applyAlignment="1" applyProtection="1">
      <alignment horizontal="center" vertical="center" wrapText="1"/>
      <protection locked="0"/>
    </xf>
    <xf numFmtId="180" fontId="57" fillId="0" borderId="71" xfId="0" applyNumberFormat="1" applyFont="1" applyBorder="1" applyAlignment="1">
      <alignment horizontal="center" vertical="center" wrapText="1"/>
    </xf>
    <xf numFmtId="180" fontId="3" fillId="0" borderId="71" xfId="0" applyNumberFormat="1" applyFont="1" applyBorder="1" applyAlignment="1" applyProtection="1">
      <alignment horizontal="center" vertical="center" wrapText="1"/>
      <protection locked="0"/>
    </xf>
    <xf numFmtId="3" fontId="3" fillId="0" borderId="5" xfId="0" applyNumberFormat="1" applyFont="1" applyBorder="1" applyAlignment="1">
      <alignment horizontal="center" vertical="center" wrapText="1"/>
    </xf>
    <xf numFmtId="1" fontId="3" fillId="0" borderId="21" xfId="0" applyNumberFormat="1" applyFont="1" applyBorder="1" applyAlignment="1">
      <alignment vertical="center" wrapText="1"/>
    </xf>
    <xf numFmtId="0" fontId="57" fillId="0" borderId="21" xfId="0" applyFont="1" applyBorder="1" applyAlignment="1">
      <alignment vertical="center" wrapText="1"/>
    </xf>
    <xf numFmtId="0" fontId="3" fillId="0" borderId="21" xfId="0" applyFont="1" applyBorder="1" applyAlignment="1" applyProtection="1">
      <alignment vertical="center" wrapText="1"/>
      <protection locked="0"/>
    </xf>
    <xf numFmtId="0" fontId="3" fillId="0" borderId="21" xfId="0" applyFont="1" applyBorder="1" applyAlignment="1">
      <alignment vertical="center" wrapText="1"/>
    </xf>
    <xf numFmtId="180" fontId="3" fillId="0" borderId="73" xfId="0" applyNumberFormat="1" applyFont="1" applyBorder="1" applyAlignment="1" applyProtection="1">
      <alignment vertical="center" wrapText="1"/>
      <protection locked="0"/>
    </xf>
    <xf numFmtId="176" fontId="3" fillId="0" borderId="21" xfId="0" applyNumberFormat="1" applyFont="1" applyBorder="1" applyAlignment="1" applyProtection="1">
      <alignment vertical="center" wrapText="1"/>
      <protection locked="0"/>
    </xf>
    <xf numFmtId="0" fontId="0" fillId="0" borderId="21" xfId="0" applyBorder="1" applyAlignment="1" applyProtection="1">
      <alignment vertical="center"/>
      <protection locked="0"/>
    </xf>
    <xf numFmtId="0" fontId="0" fillId="0" borderId="21" xfId="0" applyBorder="1" applyAlignment="1">
      <alignment vertical="center" wrapText="1"/>
    </xf>
    <xf numFmtId="0" fontId="43" fillId="0" borderId="21" xfId="0" applyFont="1" applyBorder="1" applyAlignment="1">
      <alignment vertical="center" wrapText="1"/>
    </xf>
    <xf numFmtId="176" fontId="3" fillId="0" borderId="21" xfId="5" applyNumberFormat="1" applyFont="1" applyFill="1" applyBorder="1" applyAlignment="1">
      <alignment vertical="center" wrapText="1"/>
    </xf>
    <xf numFmtId="180" fontId="3" fillId="0" borderId="73" xfId="0" applyNumberFormat="1" applyFont="1" applyBorder="1" applyAlignment="1">
      <alignment vertical="center" wrapText="1"/>
    </xf>
    <xf numFmtId="180" fontId="27" fillId="0" borderId="73" xfId="0" applyNumberFormat="1" applyFont="1" applyBorder="1" applyAlignment="1">
      <alignment vertical="center" wrapText="1"/>
    </xf>
    <xf numFmtId="176" fontId="3" fillId="0" borderId="21" xfId="0" applyNumberFormat="1" applyFont="1" applyBorder="1" applyAlignment="1">
      <alignment vertical="center" wrapText="1"/>
    </xf>
    <xf numFmtId="3" fontId="3" fillId="0" borderId="21" xfId="0" applyNumberFormat="1" applyFont="1" applyBorder="1" applyAlignment="1" applyProtection="1">
      <alignment vertical="center" wrapText="1"/>
      <protection locked="0"/>
    </xf>
    <xf numFmtId="0" fontId="70" fillId="0" borderId="21" xfId="0" applyFont="1" applyBorder="1" applyAlignment="1">
      <alignment vertical="center" wrapText="1"/>
    </xf>
    <xf numFmtId="3" fontId="3" fillId="0" borderId="73" xfId="0" applyNumberFormat="1" applyFont="1" applyBorder="1" applyAlignment="1">
      <alignment vertical="center" wrapText="1"/>
    </xf>
    <xf numFmtId="0" fontId="2" fillId="18" borderId="73" xfId="0" applyFont="1" applyFill="1" applyBorder="1" applyAlignment="1" applyProtection="1">
      <alignment vertical="center" wrapText="1"/>
      <protection locked="0"/>
    </xf>
    <xf numFmtId="180" fontId="3" fillId="0" borderId="71" xfId="0" applyNumberFormat="1" applyFont="1" applyBorder="1" applyAlignment="1">
      <alignment vertical="center" wrapText="1"/>
    </xf>
    <xf numFmtId="180" fontId="27" fillId="0" borderId="71" xfId="0" applyNumberFormat="1" applyFont="1" applyBorder="1" applyAlignment="1">
      <alignment vertical="center" wrapText="1"/>
    </xf>
    <xf numFmtId="0" fontId="3" fillId="0" borderId="71" xfId="0" applyFont="1" applyBorder="1" applyAlignment="1">
      <alignment vertical="center" wrapText="1"/>
    </xf>
    <xf numFmtId="0" fontId="70" fillId="0" borderId="71" xfId="0" applyFont="1" applyBorder="1" applyAlignment="1">
      <alignment vertical="center" wrapText="1"/>
    </xf>
    <xf numFmtId="180" fontId="57" fillId="0" borderId="71" xfId="0" applyNumberFormat="1" applyFont="1" applyBorder="1" applyAlignment="1">
      <alignment vertical="center" wrapText="1"/>
    </xf>
    <xf numFmtId="0" fontId="0" fillId="0" borderId="71" xfId="0" applyBorder="1" applyAlignment="1" applyProtection="1">
      <alignment vertical="center" wrapText="1"/>
      <protection locked="0"/>
    </xf>
    <xf numFmtId="180" fontId="3" fillId="0" borderId="71" xfId="0" applyNumberFormat="1" applyFont="1" applyBorder="1" applyAlignment="1" applyProtection="1">
      <alignment vertical="center" wrapText="1"/>
      <protection locked="0"/>
    </xf>
    <xf numFmtId="0" fontId="57" fillId="0" borderId="71" xfId="0" applyFont="1" applyBorder="1" applyAlignment="1">
      <alignment vertical="center" wrapText="1"/>
    </xf>
    <xf numFmtId="0" fontId="3" fillId="0" borderId="71" xfId="0" applyFont="1" applyBorder="1" applyAlignment="1" applyProtection="1">
      <alignment vertical="center" wrapText="1"/>
      <protection locked="0"/>
    </xf>
    <xf numFmtId="0" fontId="2" fillId="18" borderId="52" xfId="0" applyFont="1" applyFill="1" applyBorder="1" applyAlignment="1" applyProtection="1">
      <alignment vertical="center" wrapText="1"/>
      <protection locked="0"/>
    </xf>
    <xf numFmtId="1" fontId="3" fillId="0" borderId="71" xfId="0" applyNumberFormat="1" applyFont="1" applyBorder="1" applyAlignment="1">
      <alignment vertical="center" wrapText="1"/>
    </xf>
    <xf numFmtId="176" fontId="3" fillId="0" borderId="71" xfId="0" applyNumberFormat="1" applyFont="1" applyBorder="1" applyAlignment="1">
      <alignment vertical="center" wrapText="1"/>
    </xf>
    <xf numFmtId="176" fontId="3" fillId="0" borderId="71" xfId="5" applyNumberFormat="1" applyFont="1" applyFill="1" applyBorder="1" applyAlignment="1">
      <alignment vertical="center" wrapText="1"/>
    </xf>
    <xf numFmtId="0" fontId="43" fillId="0" borderId="71" xfId="0" applyFont="1" applyBorder="1" applyAlignment="1">
      <alignment vertical="center" wrapText="1"/>
    </xf>
    <xf numFmtId="3" fontId="3" fillId="0" borderId="71" xfId="0" applyNumberFormat="1" applyFont="1" applyBorder="1" applyAlignment="1" applyProtection="1">
      <alignment vertical="center" wrapText="1"/>
      <protection locked="0"/>
    </xf>
    <xf numFmtId="3" fontId="3" fillId="0" borderId="71" xfId="0" applyNumberFormat="1" applyFont="1" applyBorder="1" applyAlignment="1">
      <alignment vertical="center" wrapText="1"/>
    </xf>
    <xf numFmtId="0" fontId="0" fillId="0" borderId="71" xfId="0" applyBorder="1" applyAlignment="1" applyProtection="1">
      <alignment vertical="center"/>
      <protection locked="0"/>
    </xf>
    <xf numFmtId="0" fontId="0" fillId="0" borderId="71" xfId="0" applyBorder="1" applyAlignment="1">
      <alignment vertical="center" wrapText="1"/>
    </xf>
    <xf numFmtId="0" fontId="0" fillId="0" borderId="71" xfId="0" applyBorder="1" applyAlignment="1">
      <alignment vertical="center"/>
    </xf>
    <xf numFmtId="176" fontId="3" fillId="0" borderId="71" xfId="0" applyNumberFormat="1" applyFont="1" applyBorder="1" applyAlignment="1" applyProtection="1">
      <alignment vertical="center" wrapText="1"/>
      <protection locked="0"/>
    </xf>
    <xf numFmtId="0" fontId="43" fillId="0" borderId="71" xfId="0" applyFont="1" applyBorder="1" applyAlignment="1">
      <alignment horizontal="center" vertical="center"/>
    </xf>
    <xf numFmtId="0" fontId="2" fillId="17" borderId="12" xfId="0" applyFont="1" applyFill="1" applyBorder="1" applyAlignment="1">
      <alignment horizontal="center" vertical="center" wrapText="1"/>
    </xf>
    <xf numFmtId="0" fontId="0" fillId="0" borderId="18" xfId="0" applyFill="1" applyBorder="1" applyAlignment="1">
      <alignment horizontal="center" vertical="center"/>
    </xf>
    <xf numFmtId="0" fontId="57" fillId="0" borderId="1"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2" fontId="0" fillId="0" borderId="1" xfId="0" applyNumberFormat="1" applyFill="1" applyBorder="1" applyAlignment="1" applyProtection="1">
      <alignment horizontal="center" vertical="center"/>
      <protection locked="0"/>
    </xf>
    <xf numFmtId="0" fontId="44" fillId="0" borderId="11" xfId="0" applyFont="1" applyFill="1" applyBorder="1" applyAlignment="1" applyProtection="1">
      <alignment horizontal="center" vertical="center" wrapText="1"/>
      <protection locked="0"/>
    </xf>
    <xf numFmtId="0" fontId="0" fillId="0" borderId="59" xfId="0" applyFill="1" applyBorder="1" applyAlignment="1">
      <alignment horizontal="center" vertical="center"/>
    </xf>
    <xf numFmtId="0" fontId="0" fillId="0" borderId="1" xfId="0"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10" fontId="27" fillId="0" borderId="1" xfId="0" applyNumberFormat="1" applyFont="1" applyFill="1" applyBorder="1" applyAlignment="1" applyProtection="1">
      <alignment horizontal="center" vertical="center"/>
      <protection locked="0"/>
    </xf>
    <xf numFmtId="1" fontId="0" fillId="0" borderId="1" xfId="0" applyNumberFormat="1" applyFill="1" applyBorder="1" applyAlignment="1" applyProtection="1">
      <alignment horizontal="center" vertical="center"/>
      <protection locked="0"/>
    </xf>
    <xf numFmtId="3" fontId="0" fillId="0" borderId="1" xfId="0" applyNumberFormat="1" applyFill="1" applyBorder="1" applyAlignment="1" applyProtection="1">
      <alignment horizontal="center" vertical="center"/>
      <protection locked="0"/>
    </xf>
    <xf numFmtId="0" fontId="21" fillId="0" borderId="11" xfId="0" applyFont="1" applyFill="1" applyBorder="1" applyAlignment="1" applyProtection="1">
      <alignment horizontal="justify" vertical="center" wrapText="1"/>
      <protection locked="0"/>
    </xf>
    <xf numFmtId="4" fontId="0" fillId="0" borderId="1" xfId="0" applyNumberFormat="1" applyFill="1" applyBorder="1" applyAlignment="1" applyProtection="1">
      <alignment horizontal="center" vertical="center"/>
      <protection locked="0"/>
    </xf>
    <xf numFmtId="0" fontId="57" fillId="0" borderId="1" xfId="0" applyFont="1" applyFill="1" applyBorder="1"/>
    <xf numFmtId="42" fontId="16" fillId="0" borderId="1" xfId="0" applyNumberFormat="1" applyFont="1" applyFill="1" applyBorder="1" applyAlignment="1" applyProtection="1">
      <alignment horizontal="center" vertical="center" wrapText="1"/>
      <protection locked="0"/>
    </xf>
    <xf numFmtId="174" fontId="44" fillId="0" borderId="1" xfId="21" applyNumberFormat="1" applyFont="1" applyFill="1" applyBorder="1" applyAlignment="1">
      <alignment horizontal="center" vertical="center" wrapText="1"/>
    </xf>
    <xf numFmtId="10" fontId="44" fillId="0" borderId="1" xfId="21" applyNumberFormat="1" applyFont="1" applyFill="1" applyBorder="1" applyAlignment="1">
      <alignment horizontal="center" vertical="center" wrapText="1"/>
    </xf>
    <xf numFmtId="174" fontId="44" fillId="0" borderId="1" xfId="21" applyNumberFormat="1" applyFont="1" applyFill="1" applyBorder="1" applyAlignment="1" applyProtection="1">
      <alignment horizontal="center" vertical="center" wrapText="1"/>
    </xf>
    <xf numFmtId="10" fontId="44" fillId="0" borderId="1" xfId="24" applyNumberFormat="1" applyFont="1" applyFill="1" applyBorder="1" applyAlignment="1" applyProtection="1">
      <alignment horizontal="center" vertical="center" wrapText="1"/>
    </xf>
    <xf numFmtId="10" fontId="44" fillId="0" borderId="1" xfId="21" applyNumberFormat="1" applyFont="1" applyFill="1" applyBorder="1" applyAlignment="1" applyProtection="1">
      <alignment horizontal="center" vertical="center" wrapText="1"/>
    </xf>
    <xf numFmtId="10" fontId="44" fillId="0" borderId="1" xfId="21" applyNumberFormat="1" applyFont="1" applyFill="1" applyBorder="1" applyAlignment="1" applyProtection="1">
      <alignment horizontal="center" vertical="center" wrapText="1"/>
      <protection locked="0"/>
    </xf>
    <xf numFmtId="174" fontId="44" fillId="0" borderId="1" xfId="21" applyNumberFormat="1" applyFont="1" applyFill="1" applyBorder="1" applyAlignment="1" applyProtection="1">
      <alignment horizontal="center" vertical="center" wrapText="1"/>
      <protection locked="0"/>
    </xf>
    <xf numFmtId="174" fontId="44" fillId="0" borderId="1" xfId="24" applyNumberFormat="1" applyFont="1" applyFill="1" applyBorder="1" applyAlignment="1" applyProtection="1">
      <alignment horizontal="center" vertical="center" wrapText="1"/>
    </xf>
    <xf numFmtId="174" fontId="16" fillId="0" borderId="1" xfId="21" applyNumberFormat="1" applyFont="1" applyFill="1" applyBorder="1" applyAlignment="1" applyProtection="1">
      <alignment horizontal="center" vertical="center" wrapText="1"/>
      <protection locked="0"/>
    </xf>
    <xf numFmtId="174" fontId="16" fillId="0" borderId="1" xfId="21" applyNumberFormat="1" applyFont="1" applyFill="1" applyBorder="1" applyAlignment="1">
      <alignment horizontal="center" vertical="center" wrapText="1"/>
    </xf>
    <xf numFmtId="174" fontId="16" fillId="0" borderId="1" xfId="21" applyNumberFormat="1" applyFont="1" applyFill="1" applyBorder="1" applyAlignment="1" applyProtection="1">
      <alignment horizontal="center" vertical="center" wrapText="1"/>
    </xf>
    <xf numFmtId="174" fontId="16" fillId="0" borderId="1" xfId="24" applyNumberFormat="1" applyFont="1" applyFill="1" applyBorder="1" applyAlignment="1" applyProtection="1">
      <alignment horizontal="center" vertical="center" wrapText="1"/>
    </xf>
    <xf numFmtId="174" fontId="16" fillId="0" borderId="1" xfId="21" applyNumberFormat="1" applyFont="1" applyFill="1" applyBorder="1" applyAlignment="1">
      <alignment horizontal="center" vertical="center"/>
    </xf>
    <xf numFmtId="174" fontId="16" fillId="0" borderId="1" xfId="21" applyNumberFormat="1" applyFont="1" applyFill="1" applyBorder="1" applyAlignment="1" applyProtection="1">
      <alignment horizontal="center" vertical="center"/>
      <protection locked="0"/>
    </xf>
    <xf numFmtId="174" fontId="44" fillId="0" borderId="2" xfId="21" applyNumberFormat="1" applyFont="1" applyFill="1" applyBorder="1" applyAlignment="1">
      <alignment horizontal="center" vertical="center" wrapText="1"/>
    </xf>
    <xf numFmtId="174" fontId="44" fillId="0" borderId="2" xfId="21" applyNumberFormat="1" applyFont="1" applyFill="1" applyBorder="1" applyAlignment="1" applyProtection="1">
      <alignment horizontal="center" vertical="center" wrapText="1"/>
    </xf>
    <xf numFmtId="174" fontId="44" fillId="0" borderId="2" xfId="21" applyNumberFormat="1" applyFont="1" applyFill="1" applyBorder="1" applyAlignment="1" applyProtection="1">
      <alignment horizontal="center" vertical="center" wrapText="1"/>
      <protection locked="0"/>
    </xf>
    <xf numFmtId="3" fontId="57"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2" fontId="0" fillId="0" borderId="1" xfId="0" applyNumberFormat="1" applyFill="1" applyBorder="1" applyAlignment="1">
      <alignment horizontal="center" vertical="center"/>
    </xf>
    <xf numFmtId="2" fontId="3" fillId="0" borderId="1" xfId="0" applyNumberFormat="1" applyFont="1" applyFill="1" applyBorder="1" applyAlignment="1" applyProtection="1">
      <alignment horizontal="center" vertical="center" wrapText="1"/>
      <protection locked="0"/>
    </xf>
    <xf numFmtId="187"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lignment horizontal="center" vertical="center" wrapText="1"/>
    </xf>
    <xf numFmtId="180" fontId="57" fillId="0" borderId="1" xfId="0" applyNumberFormat="1" applyFont="1" applyFill="1" applyBorder="1" applyAlignment="1">
      <alignment horizontal="center" vertical="center" wrapText="1"/>
    </xf>
    <xf numFmtId="180" fontId="57" fillId="0" borderId="1" xfId="0" applyNumberFormat="1" applyFont="1" applyFill="1" applyBorder="1" applyAlignment="1" applyProtection="1">
      <alignment horizontal="center" vertical="center" wrapText="1"/>
      <protection locked="0"/>
    </xf>
    <xf numFmtId="180" fontId="3" fillId="0" borderId="1" xfId="0"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2" fontId="70" fillId="0" borderId="1" xfId="0" applyNumberFormat="1" applyFont="1" applyFill="1" applyBorder="1" applyAlignment="1">
      <alignment horizontal="center" vertical="center"/>
    </xf>
    <xf numFmtId="2" fontId="70" fillId="0" borderId="1" xfId="0" applyNumberFormat="1" applyFont="1" applyFill="1" applyBorder="1" applyAlignment="1">
      <alignment horizontal="right" vertical="center"/>
    </xf>
    <xf numFmtId="2" fontId="3" fillId="0" borderId="1" xfId="0" applyNumberFormat="1" applyFont="1" applyFill="1" applyBorder="1" applyAlignment="1">
      <alignment horizontal="center" vertical="center"/>
    </xf>
    <xf numFmtId="2" fontId="3" fillId="0" borderId="1" xfId="9" applyNumberFormat="1" applyFont="1" applyFill="1" applyBorder="1" applyAlignment="1">
      <alignment horizontal="center" vertical="center"/>
    </xf>
    <xf numFmtId="2" fontId="3" fillId="0" borderId="1" xfId="0" applyNumberFormat="1" applyFont="1" applyFill="1" applyBorder="1" applyAlignment="1" applyProtection="1">
      <alignment horizontal="center" vertical="center"/>
      <protection locked="0"/>
    </xf>
    <xf numFmtId="180" fontId="70"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3" fontId="57" fillId="0" borderId="73" xfId="0" applyNumberFormat="1" applyFont="1" applyFill="1" applyBorder="1" applyAlignment="1">
      <alignment horizontal="center" vertical="center" wrapText="1"/>
    </xf>
    <xf numFmtId="3" fontId="3" fillId="0" borderId="73" xfId="0" applyNumberFormat="1" applyFont="1" applyFill="1" applyBorder="1" applyAlignment="1">
      <alignment horizontal="center" vertical="center" wrapText="1"/>
    </xf>
    <xf numFmtId="2" fontId="3" fillId="0" borderId="73" xfId="0" applyNumberFormat="1" applyFont="1" applyFill="1" applyBorder="1" applyAlignment="1">
      <alignment horizontal="center" vertical="center" wrapText="1"/>
    </xf>
    <xf numFmtId="1" fontId="3" fillId="0" borderId="73" xfId="0" applyNumberFormat="1" applyFont="1" applyFill="1" applyBorder="1" applyAlignment="1">
      <alignment horizontal="center" vertical="center" wrapText="1"/>
    </xf>
    <xf numFmtId="2" fontId="3" fillId="0" borderId="73" xfId="0" applyNumberFormat="1" applyFont="1" applyFill="1" applyBorder="1" applyAlignment="1" applyProtection="1">
      <alignment horizontal="center" vertical="center" wrapText="1"/>
      <protection locked="0"/>
    </xf>
    <xf numFmtId="1" fontId="3" fillId="0" borderId="73" xfId="0" applyNumberFormat="1" applyFont="1" applyFill="1" applyBorder="1" applyAlignment="1" applyProtection="1">
      <alignment horizontal="center" vertical="center" wrapText="1"/>
      <protection locked="0"/>
    </xf>
    <xf numFmtId="3" fontId="3" fillId="0" borderId="73" xfId="0" applyNumberFormat="1" applyFont="1" applyFill="1" applyBorder="1" applyAlignment="1" applyProtection="1">
      <alignment horizontal="center" vertical="center" wrapText="1"/>
      <protection locked="0"/>
    </xf>
    <xf numFmtId="3" fontId="57"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183" fontId="3"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70" fillId="0" borderId="5" xfId="9" applyNumberFormat="1" applyFont="1" applyFill="1" applyBorder="1" applyAlignment="1" applyProtection="1">
      <alignment horizontal="center" vertical="center"/>
      <protection locked="0"/>
    </xf>
    <xf numFmtId="2" fontId="70" fillId="0" borderId="5" xfId="9" applyNumberFormat="1" applyFont="1" applyFill="1" applyBorder="1" applyAlignment="1" applyProtection="1">
      <alignment horizontal="center" vertical="center"/>
    </xf>
    <xf numFmtId="1" fontId="3" fillId="0" borderId="5" xfId="0"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182" fontId="0" fillId="0" borderId="1" xfId="0" applyNumberFormat="1" applyFill="1" applyBorder="1" applyAlignment="1" applyProtection="1">
      <alignment horizontal="center" vertical="center"/>
      <protection locked="0"/>
    </xf>
    <xf numFmtId="4" fontId="3" fillId="0" borderId="1" xfId="0" applyNumberFormat="1" applyFont="1" applyFill="1" applyBorder="1" applyAlignment="1">
      <alignment horizontal="center" vertical="center" wrapText="1"/>
    </xf>
    <xf numFmtId="2" fontId="70" fillId="0" borderId="1" xfId="0" applyNumberFormat="1" applyFont="1" applyFill="1" applyBorder="1" applyAlignment="1" applyProtection="1">
      <alignment horizontal="center" vertical="center"/>
      <protection locked="0"/>
    </xf>
    <xf numFmtId="3" fontId="3" fillId="0" borderId="1" xfId="0" applyNumberFormat="1" applyFont="1" applyFill="1" applyBorder="1" applyAlignment="1">
      <alignment horizontal="center" vertical="center" wrapText="1"/>
    </xf>
    <xf numFmtId="4" fontId="3" fillId="0" borderId="73" xfId="0" applyNumberFormat="1" applyFont="1" applyFill="1" applyBorder="1" applyAlignment="1">
      <alignment horizontal="center" vertical="center" wrapText="1"/>
    </xf>
    <xf numFmtId="2" fontId="0" fillId="0" borderId="5" xfId="0" applyNumberFormat="1" applyFill="1" applyBorder="1" applyAlignment="1">
      <alignment horizontal="center" vertical="center"/>
    </xf>
    <xf numFmtId="182" fontId="70" fillId="0" borderId="1" xfId="0" applyNumberFormat="1" applyFont="1" applyFill="1" applyBorder="1" applyAlignment="1">
      <alignment horizontal="center" vertical="center"/>
    </xf>
    <xf numFmtId="4" fontId="3" fillId="0" borderId="73" xfId="0" applyNumberFormat="1" applyFont="1" applyFill="1" applyBorder="1" applyAlignment="1" applyProtection="1">
      <alignment horizontal="center" vertical="center" wrapText="1"/>
      <protection locked="0"/>
    </xf>
    <xf numFmtId="0" fontId="70" fillId="0" borderId="15" xfId="0" applyFont="1" applyFill="1" applyBorder="1" applyAlignment="1">
      <alignment horizontal="center" vertical="center" wrapText="1"/>
    </xf>
    <xf numFmtId="0" fontId="70" fillId="0" borderId="34" xfId="0" applyFont="1" applyFill="1" applyBorder="1" applyAlignment="1">
      <alignment horizontal="center" vertical="center" wrapText="1"/>
    </xf>
    <xf numFmtId="0" fontId="70" fillId="0" borderId="34" xfId="0" applyFont="1" applyFill="1" applyBorder="1" applyAlignment="1">
      <alignment horizontal="center" vertical="center"/>
    </xf>
    <xf numFmtId="171" fontId="3" fillId="0" borderId="34" xfId="0" applyNumberFormat="1" applyFont="1" applyFill="1" applyBorder="1" applyAlignment="1">
      <alignment horizontal="center" vertical="center" wrapText="1"/>
    </xf>
    <xf numFmtId="4" fontId="3" fillId="0" borderId="34" xfId="0" applyNumberFormat="1" applyFont="1" applyFill="1" applyBorder="1" applyAlignment="1">
      <alignment horizontal="center" vertical="center" wrapText="1"/>
    </xf>
    <xf numFmtId="183" fontId="3" fillId="0" borderId="34" xfId="0" applyNumberFormat="1" applyFont="1" applyFill="1" applyBorder="1" applyAlignment="1">
      <alignment horizontal="center" vertical="center" wrapText="1"/>
    </xf>
    <xf numFmtId="4" fontId="3" fillId="0" borderId="34" xfId="0" applyNumberFormat="1" applyFont="1" applyFill="1" applyBorder="1" applyAlignment="1" applyProtection="1">
      <alignment horizontal="center" vertical="center" wrapText="1"/>
      <protection locked="0"/>
    </xf>
    <xf numFmtId="3" fontId="3" fillId="0" borderId="34" xfId="0" applyNumberFormat="1" applyFont="1" applyFill="1" applyBorder="1" applyAlignment="1">
      <alignment horizontal="center" vertical="center" wrapText="1"/>
    </xf>
    <xf numFmtId="0" fontId="3" fillId="0" borderId="34" xfId="0" applyFont="1" applyFill="1" applyBorder="1" applyAlignment="1" applyProtection="1">
      <alignment horizontal="left" vertical="top" wrapText="1"/>
      <protection locked="0"/>
    </xf>
    <xf numFmtId="0" fontId="70" fillId="0" borderId="34"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80" xfId="0" applyFont="1" applyFill="1" applyBorder="1" applyAlignment="1" applyProtection="1">
      <alignment horizontal="center" vertical="center" wrapText="1"/>
      <protection locked="0"/>
    </xf>
    <xf numFmtId="0" fontId="64" fillId="17" borderId="45" xfId="0" applyFont="1" applyFill="1" applyBorder="1" applyAlignment="1">
      <alignment horizontal="center" vertical="center" wrapText="1"/>
    </xf>
    <xf numFmtId="0" fontId="64" fillId="17" borderId="46" xfId="0" applyFont="1" applyFill="1" applyBorder="1" applyAlignment="1">
      <alignment horizontal="center" vertical="center" wrapText="1"/>
    </xf>
    <xf numFmtId="0" fontId="64" fillId="17" borderId="47"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1" fillId="21" borderId="64" xfId="0" applyFont="1" applyFill="1" applyBorder="1" applyAlignment="1">
      <alignment horizontal="center" vertical="center" wrapText="1"/>
    </xf>
    <xf numFmtId="0" fontId="64" fillId="21" borderId="45" xfId="0" applyFont="1" applyFill="1" applyBorder="1" applyAlignment="1">
      <alignment horizontal="center" vertical="center"/>
    </xf>
    <xf numFmtId="0" fontId="64" fillId="21" borderId="46" xfId="0" applyFont="1" applyFill="1" applyBorder="1" applyAlignment="1">
      <alignment horizontal="center" vertical="center"/>
    </xf>
    <xf numFmtId="0" fontId="11" fillId="18" borderId="48" xfId="0" applyFont="1" applyFill="1" applyBorder="1" applyAlignment="1">
      <alignment horizontal="center" vertical="center" wrapText="1"/>
    </xf>
    <xf numFmtId="0" fontId="11" fillId="18" borderId="56"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64" fillId="21" borderId="47" xfId="0" applyFont="1" applyFill="1" applyBorder="1" applyAlignment="1">
      <alignment horizontal="center" vertical="center"/>
    </xf>
    <xf numFmtId="0" fontId="11" fillId="24" borderId="48" xfId="0" applyFont="1" applyFill="1" applyBorder="1" applyAlignment="1">
      <alignment horizontal="center" vertical="center" wrapText="1"/>
    </xf>
    <xf numFmtId="0" fontId="11" fillId="24" borderId="56" xfId="0" applyFont="1" applyFill="1" applyBorder="1" applyAlignment="1">
      <alignment horizontal="center" vertical="center" wrapText="1"/>
    </xf>
    <xf numFmtId="0" fontId="11" fillId="24" borderId="64" xfId="0"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46" xfId="0" applyFont="1" applyFill="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74"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0" fillId="0" borderId="22" xfId="0" applyFont="1" applyBorder="1" applyAlignment="1">
      <alignment horizontal="center"/>
    </xf>
    <xf numFmtId="0" fontId="30" fillId="0" borderId="23" xfId="0" applyFont="1" applyBorder="1" applyAlignment="1">
      <alignment horizontal="center"/>
    </xf>
    <xf numFmtId="0" fontId="30" fillId="0" borderId="36" xfId="0" applyFont="1" applyBorder="1" applyAlignment="1">
      <alignment horizontal="center"/>
    </xf>
    <xf numFmtId="0" fontId="30" fillId="0" borderId="25" xfId="0" applyFont="1" applyBorder="1" applyAlignment="1">
      <alignment horizontal="center"/>
    </xf>
    <xf numFmtId="0" fontId="30" fillId="0" borderId="0" xfId="0" applyFont="1" applyAlignment="1">
      <alignment horizontal="center"/>
    </xf>
    <xf numFmtId="0" fontId="30" fillId="0" borderId="26" xfId="0" applyFont="1" applyBorder="1" applyAlignment="1">
      <alignment horizontal="center"/>
    </xf>
    <xf numFmtId="0" fontId="30" fillId="0" borderId="74" xfId="0" applyFont="1" applyBorder="1" applyAlignment="1">
      <alignment horizontal="center"/>
    </xf>
    <xf numFmtId="0" fontId="30" fillId="0" borderId="76" xfId="0" applyFont="1" applyBorder="1" applyAlignment="1">
      <alignment horizontal="center"/>
    </xf>
    <xf numFmtId="0" fontId="30" fillId="0" borderId="77" xfId="0" applyFont="1" applyBorder="1" applyAlignment="1">
      <alignment horizontal="center"/>
    </xf>
    <xf numFmtId="0" fontId="68" fillId="17" borderId="23" xfId="0" applyFont="1" applyFill="1" applyBorder="1" applyAlignment="1">
      <alignment horizontal="center" vertical="center" wrapText="1"/>
    </xf>
    <xf numFmtId="0" fontId="68" fillId="17" borderId="36" xfId="0" applyFont="1" applyFill="1" applyBorder="1" applyAlignment="1">
      <alignment horizontal="center" vertical="center" wrapText="1"/>
    </xf>
    <xf numFmtId="0" fontId="77" fillId="17" borderId="45" xfId="0" applyFont="1" applyFill="1" applyBorder="1" applyAlignment="1">
      <alignment horizontal="center"/>
    </xf>
    <xf numFmtId="0" fontId="77" fillId="17" borderId="46" xfId="0" applyFont="1" applyFill="1" applyBorder="1" applyAlignment="1">
      <alignment horizontal="center"/>
    </xf>
    <xf numFmtId="0" fontId="77" fillId="17" borderId="47" xfId="0" applyFont="1" applyFill="1" applyBorder="1" applyAlignment="1">
      <alignment horizontal="center"/>
    </xf>
    <xf numFmtId="0" fontId="29" fillId="3" borderId="46" xfId="0" applyFont="1" applyFill="1" applyBorder="1" applyAlignment="1">
      <alignment vertical="center" wrapText="1"/>
    </xf>
    <xf numFmtId="0" fontId="29" fillId="3" borderId="45" xfId="0" applyFont="1" applyFill="1" applyBorder="1" applyAlignment="1">
      <alignment horizontal="lef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5"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10" fillId="17" borderId="39"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75" fillId="4" borderId="8" xfId="0" applyFont="1" applyFill="1" applyBorder="1" applyAlignment="1">
      <alignment horizontal="center" vertical="center"/>
    </xf>
    <xf numFmtId="0" fontId="75" fillId="4" borderId="6" xfId="0" applyFont="1" applyFill="1" applyBorder="1" applyAlignment="1">
      <alignment horizontal="center" vertical="center"/>
    </xf>
    <xf numFmtId="0" fontId="75" fillId="4" borderId="7" xfId="0" applyFont="1" applyFill="1" applyBorder="1" applyAlignment="1">
      <alignment horizontal="center" vertical="center"/>
    </xf>
    <xf numFmtId="0" fontId="75" fillId="4" borderId="8" xfId="0" applyFont="1" applyFill="1" applyBorder="1" applyAlignment="1">
      <alignment horizontal="center" vertical="center" wrapText="1"/>
    </xf>
    <xf numFmtId="0" fontId="75" fillId="4" borderId="6" xfId="0" applyFont="1" applyFill="1" applyBorder="1" applyAlignment="1">
      <alignment horizontal="center" vertical="center" wrapText="1"/>
    </xf>
    <xf numFmtId="0" fontId="75" fillId="4" borderId="7"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180" fontId="3" fillId="17" borderId="22" xfId="9" applyNumberFormat="1" applyFont="1" applyFill="1" applyBorder="1" applyAlignment="1">
      <alignment horizontal="center" vertical="center" wrapText="1"/>
    </xf>
    <xf numFmtId="180" fontId="3" fillId="17" borderId="23" xfId="9" applyNumberFormat="1" applyFont="1" applyFill="1" applyBorder="1" applyAlignment="1">
      <alignment horizontal="center" vertical="center" wrapText="1"/>
    </xf>
    <xf numFmtId="180" fontId="3" fillId="17" borderId="36" xfId="9" applyNumberFormat="1" applyFont="1" applyFill="1" applyBorder="1" applyAlignment="1">
      <alignment horizontal="center" vertical="center" wrapText="1"/>
    </xf>
    <xf numFmtId="180" fontId="3" fillId="17" borderId="25" xfId="9" applyNumberFormat="1" applyFont="1" applyFill="1" applyBorder="1" applyAlignment="1">
      <alignment horizontal="center" vertical="center" wrapText="1"/>
    </xf>
    <xf numFmtId="180" fontId="3" fillId="17" borderId="0" xfId="9" applyNumberFormat="1" applyFont="1" applyFill="1" applyBorder="1" applyAlignment="1">
      <alignment horizontal="center" vertical="center" wrapText="1"/>
    </xf>
    <xf numFmtId="180" fontId="3" fillId="17" borderId="26" xfId="9" applyNumberFormat="1" applyFont="1" applyFill="1" applyBorder="1" applyAlignment="1">
      <alignment horizontal="center" vertical="center" wrapText="1"/>
    </xf>
    <xf numFmtId="180" fontId="3" fillId="17" borderId="74" xfId="9" applyNumberFormat="1" applyFont="1" applyFill="1" applyBorder="1" applyAlignment="1">
      <alignment horizontal="center" vertical="center" wrapText="1"/>
    </xf>
    <xf numFmtId="180" fontId="3" fillId="17" borderId="76" xfId="9" applyNumberFormat="1" applyFont="1" applyFill="1" applyBorder="1" applyAlignment="1">
      <alignment horizontal="center" vertical="center" wrapText="1"/>
    </xf>
    <xf numFmtId="180" fontId="3" fillId="17" borderId="77" xfId="9" applyNumberFormat="1" applyFont="1" applyFill="1" applyBorder="1" applyAlignment="1">
      <alignment horizontal="center" vertical="center" wrapText="1"/>
    </xf>
    <xf numFmtId="3" fontId="4" fillId="0" borderId="56"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170" fontId="4" fillId="17" borderId="22" xfId="9" applyFont="1" applyFill="1" applyBorder="1" applyAlignment="1" applyProtection="1">
      <alignment horizontal="center" vertical="center" wrapText="1"/>
      <protection locked="0"/>
    </xf>
    <xf numFmtId="170" fontId="4" fillId="17" borderId="23" xfId="9" applyFont="1" applyFill="1" applyBorder="1" applyAlignment="1" applyProtection="1">
      <alignment horizontal="center" vertical="center" wrapText="1"/>
      <protection locked="0"/>
    </xf>
    <xf numFmtId="170" fontId="4" fillId="17" borderId="25" xfId="9" applyFont="1" applyFill="1" applyBorder="1" applyAlignment="1" applyProtection="1">
      <alignment horizontal="center" vertical="center" wrapText="1"/>
      <protection locked="0"/>
    </xf>
    <xf numFmtId="170" fontId="4" fillId="17" borderId="0" xfId="9" applyFont="1" applyFill="1" applyBorder="1" applyAlignment="1" applyProtection="1">
      <alignment horizontal="center" vertical="center" wrapText="1"/>
      <protection locked="0"/>
    </xf>
    <xf numFmtId="170" fontId="4" fillId="17" borderId="74" xfId="9" applyFont="1" applyFill="1" applyBorder="1" applyAlignment="1" applyProtection="1">
      <alignment horizontal="center" vertical="center" wrapText="1"/>
      <protection locked="0"/>
    </xf>
    <xf numFmtId="170" fontId="4" fillId="17" borderId="76" xfId="9"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6" xfId="0" applyFont="1" applyBorder="1" applyAlignment="1">
      <alignment horizontal="center" vertical="center" wrapText="1"/>
    </xf>
    <xf numFmtId="3" fontId="4" fillId="0" borderId="39" xfId="0" applyNumberFormat="1" applyFont="1" applyBorder="1" applyAlignment="1">
      <alignment horizontal="center" vertical="center" wrapText="1"/>
    </xf>
    <xf numFmtId="3" fontId="4" fillId="0" borderId="67" xfId="0" applyNumberFormat="1" applyFont="1" applyBorder="1" applyAlignment="1">
      <alignment horizontal="center" vertical="center" wrapText="1"/>
    </xf>
    <xf numFmtId="3" fontId="4" fillId="0" borderId="43"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0" fontId="4" fillId="0" borderId="40" xfId="0" applyFont="1" applyBorder="1" applyAlignment="1">
      <alignment horizontal="center" vertical="center" wrapText="1"/>
    </xf>
    <xf numFmtId="3" fontId="4" fillId="0" borderId="60" xfId="0" applyNumberFormat="1" applyFont="1" applyBorder="1" applyAlignment="1">
      <alignment horizontal="center" vertical="center" wrapText="1"/>
    </xf>
    <xf numFmtId="3" fontId="4" fillId="0" borderId="62" xfId="0" applyNumberFormat="1" applyFont="1" applyBorder="1" applyAlignment="1">
      <alignment horizontal="center" vertical="center" wrapText="1"/>
    </xf>
    <xf numFmtId="3" fontId="4" fillId="0" borderId="63" xfId="0" applyNumberFormat="1" applyFont="1" applyBorder="1" applyAlignment="1">
      <alignment horizontal="center" vertical="center" wrapText="1"/>
    </xf>
    <xf numFmtId="3" fontId="4" fillId="0" borderId="32" xfId="0" applyNumberFormat="1" applyFont="1" applyBorder="1" applyAlignment="1">
      <alignment horizontal="center" vertical="center" wrapText="1"/>
    </xf>
    <xf numFmtId="3" fontId="4" fillId="0" borderId="69" xfId="0" applyNumberFormat="1" applyFont="1" applyBorder="1" applyAlignment="1">
      <alignment horizontal="center" vertical="center" wrapText="1"/>
    </xf>
    <xf numFmtId="3" fontId="4" fillId="0" borderId="30"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73" xfId="0" applyFill="1" applyBorder="1" applyAlignment="1" applyProtection="1">
      <alignment horizontal="center" vertical="center" wrapText="1"/>
      <protection locked="0"/>
    </xf>
    <xf numFmtId="0" fontId="27" fillId="0" borderId="1" xfId="0" applyFont="1" applyFill="1" applyBorder="1" applyAlignment="1" applyProtection="1">
      <alignment horizontal="left" vertical="top" wrapText="1"/>
      <protection locked="0"/>
    </xf>
    <xf numFmtId="0" fontId="27" fillId="0" borderId="53" xfId="0" applyFont="1" applyFill="1" applyBorder="1" applyAlignment="1" applyProtection="1">
      <alignment horizontal="left" vertical="top" wrapText="1"/>
      <protection locked="0"/>
    </xf>
    <xf numFmtId="0" fontId="0" fillId="0" borderId="22"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10" fillId="17" borderId="45" xfId="0" applyFont="1" applyFill="1" applyBorder="1" applyAlignment="1">
      <alignment horizontal="center" vertical="center" wrapText="1"/>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64" fillId="17" borderId="22" xfId="0" applyFont="1" applyFill="1" applyBorder="1" applyAlignment="1">
      <alignment horizontal="center" vertical="center" wrapText="1"/>
    </xf>
    <xf numFmtId="0" fontId="64" fillId="17" borderId="23" xfId="0" applyFont="1" applyFill="1" applyBorder="1" applyAlignment="1">
      <alignment horizontal="center" vertical="center" wrapText="1"/>
    </xf>
    <xf numFmtId="0" fontId="64" fillId="17" borderId="36" xfId="0" applyFont="1" applyFill="1" applyBorder="1" applyAlignment="1">
      <alignment horizontal="center" vertical="center" wrapText="1"/>
    </xf>
    <xf numFmtId="0" fontId="64" fillId="17" borderId="27" xfId="0" applyFont="1" applyFill="1" applyBorder="1" applyAlignment="1">
      <alignment horizontal="center" vertical="center" wrapText="1"/>
    </xf>
    <xf numFmtId="0" fontId="64" fillId="17" borderId="28" xfId="0" applyFont="1" applyFill="1" applyBorder="1" applyAlignment="1">
      <alignment horizontal="center" vertical="center" wrapText="1"/>
    </xf>
    <xf numFmtId="0" fontId="64" fillId="17" borderId="37" xfId="0" applyFont="1" applyFill="1" applyBorder="1" applyAlignment="1">
      <alignment horizontal="center" vertical="center" wrapText="1"/>
    </xf>
    <xf numFmtId="0" fontId="68" fillId="17" borderId="31" xfId="0" applyFont="1" applyFill="1" applyBorder="1" applyAlignment="1">
      <alignment horizontal="center" vertical="center" wrapText="1"/>
    </xf>
    <xf numFmtId="0" fontId="47" fillId="17" borderId="31" xfId="0" applyFont="1" applyFill="1" applyBorder="1" applyAlignment="1">
      <alignment horizontal="center" vertical="center" wrapText="1"/>
    </xf>
    <xf numFmtId="0" fontId="68" fillId="17" borderId="32" xfId="0" applyFont="1" applyFill="1" applyBorder="1" applyAlignment="1">
      <alignment horizontal="center" vertical="center" wrapText="1"/>
    </xf>
    <xf numFmtId="0" fontId="69" fillId="17" borderId="6"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69" fillId="17" borderId="52" xfId="0" applyFont="1" applyFill="1" applyBorder="1" applyAlignment="1">
      <alignment horizontal="center" vertical="center" wrapText="1"/>
    </xf>
    <xf numFmtId="0" fontId="69" fillId="17" borderId="54" xfId="0" applyFont="1" applyFill="1" applyBorder="1" applyAlignment="1">
      <alignment horizontal="center" vertical="center" wrapText="1"/>
    </xf>
    <xf numFmtId="0" fontId="29" fillId="0" borderId="45" xfId="0" applyFont="1" applyBorder="1" applyAlignment="1">
      <alignment horizontal="left" vertical="center"/>
    </xf>
    <xf numFmtId="0" fontId="29" fillId="0" borderId="46" xfId="0" applyFont="1" applyBorder="1" applyAlignment="1">
      <alignment horizontal="left" vertical="center"/>
    </xf>
    <xf numFmtId="0" fontId="47" fillId="0" borderId="46" xfId="0" applyFont="1" applyBorder="1" applyAlignment="1">
      <alignment horizontal="left" vertical="center"/>
    </xf>
    <xf numFmtId="0" fontId="64" fillId="17" borderId="23" xfId="0" applyFont="1" applyFill="1" applyBorder="1" applyAlignment="1">
      <alignment horizontal="center" vertical="center"/>
    </xf>
    <xf numFmtId="0" fontId="64" fillId="17" borderId="46" xfId="0" applyFont="1" applyFill="1" applyBorder="1" applyAlignment="1">
      <alignment horizontal="center" vertical="center"/>
    </xf>
    <xf numFmtId="0" fontId="47" fillId="17" borderId="46" xfId="0" applyFont="1" applyFill="1" applyBorder="1" applyAlignment="1">
      <alignment horizontal="center" vertical="center"/>
    </xf>
    <xf numFmtId="0" fontId="29" fillId="0" borderId="47" xfId="0" applyFont="1" applyBorder="1" applyAlignment="1">
      <alignment horizontal="left" vertical="center"/>
    </xf>
    <xf numFmtId="0" fontId="47" fillId="0" borderId="46" xfId="0" applyFont="1" applyBorder="1" applyAlignment="1">
      <alignment horizontal="left" vertical="center" wrapText="1"/>
    </xf>
    <xf numFmtId="0" fontId="11" fillId="17" borderId="19"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64" fillId="21" borderId="38" xfId="0" applyFont="1" applyFill="1" applyBorder="1" applyAlignment="1">
      <alignment horizontal="center" vertical="center"/>
    </xf>
    <xf numFmtId="0" fontId="64" fillId="21" borderId="42" xfId="0" applyFont="1" applyFill="1" applyBorder="1" applyAlignment="1">
      <alignment horizontal="center" vertical="center"/>
    </xf>
    <xf numFmtId="0" fontId="64" fillId="21" borderId="5" xfId="0" applyFont="1" applyFill="1" applyBorder="1" applyAlignment="1">
      <alignment horizontal="center" vertical="center"/>
    </xf>
    <xf numFmtId="0" fontId="47" fillId="21" borderId="45" xfId="0" applyFont="1" applyFill="1" applyBorder="1" applyAlignment="1">
      <alignment horizontal="center" vertical="center"/>
    </xf>
    <xf numFmtId="0" fontId="47" fillId="21" borderId="46" xfId="0" applyFont="1" applyFill="1" applyBorder="1" applyAlignment="1">
      <alignment horizontal="center" vertical="center"/>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27" fillId="0" borderId="1" xfId="0" applyFont="1" applyFill="1" applyBorder="1" applyAlignment="1" applyProtection="1">
      <alignment horizontal="center" vertical="center" wrapText="1"/>
      <protection locked="0"/>
    </xf>
    <xf numFmtId="0" fontId="27" fillId="0" borderId="73" xfId="0" applyFont="1" applyFill="1" applyBorder="1" applyAlignment="1" applyProtection="1">
      <alignment horizontal="center" vertical="center" wrapText="1"/>
      <protection locked="0"/>
    </xf>
    <xf numFmtId="0" fontId="0" fillId="0" borderId="1" xfId="0" applyFill="1" applyBorder="1" applyAlignment="1" applyProtection="1">
      <alignment horizontal="justify" vertical="center" wrapText="1"/>
      <protection locked="0"/>
    </xf>
    <xf numFmtId="0" fontId="27" fillId="0" borderId="7" xfId="0" applyFont="1" applyFill="1" applyBorder="1" applyAlignment="1" applyProtection="1">
      <alignment horizontal="left" vertical="top" wrapText="1"/>
      <protection locked="0"/>
    </xf>
    <xf numFmtId="0" fontId="70" fillId="0" borderId="4" xfId="0" applyFont="1" applyFill="1" applyBorder="1" applyAlignment="1" applyProtection="1">
      <alignment horizontal="center" vertical="center" wrapText="1"/>
      <protection locked="0"/>
    </xf>
    <xf numFmtId="0" fontId="70" fillId="0" borderId="34" xfId="0" applyFont="1" applyFill="1" applyBorder="1" applyAlignment="1" applyProtection="1">
      <alignment horizontal="center" vertical="center" wrapText="1"/>
      <protection locked="0"/>
    </xf>
    <xf numFmtId="0" fontId="0" fillId="0" borderId="73" xfId="0" applyFill="1" applyBorder="1" applyAlignment="1" applyProtection="1">
      <alignment horizontal="justify" vertical="center" wrapText="1"/>
      <protection locked="0"/>
    </xf>
    <xf numFmtId="0" fontId="18" fillId="0" borderId="2"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6" fillId="0" borderId="1" xfId="16"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6" fillId="0" borderId="2" xfId="16" applyFont="1" applyFill="1" applyBorder="1" applyAlignment="1">
      <alignment horizontal="center" vertical="top" wrapText="1"/>
    </xf>
    <xf numFmtId="0" fontId="16" fillId="0" borderId="5" xfId="16" applyFont="1" applyFill="1" applyBorder="1" applyAlignment="1">
      <alignment horizontal="center" vertical="top" wrapText="1"/>
    </xf>
    <xf numFmtId="0" fontId="18" fillId="0" borderId="1" xfId="0" applyFont="1" applyFill="1" applyBorder="1" applyAlignment="1" applyProtection="1">
      <alignment horizontal="center" vertical="center" wrapText="1"/>
      <protection locked="0"/>
    </xf>
    <xf numFmtId="0" fontId="18" fillId="17" borderId="65" xfId="16" applyFont="1" applyFill="1" applyBorder="1" applyAlignment="1">
      <alignment horizontal="center" vertical="center" wrapText="1"/>
    </xf>
    <xf numFmtId="0" fontId="18" fillId="17" borderId="49" xfId="16" applyFont="1" applyFill="1" applyBorder="1" applyAlignment="1">
      <alignment horizontal="center" vertical="center" wrapText="1"/>
    </xf>
    <xf numFmtId="0" fontId="16" fillId="0" borderId="2" xfId="16" applyFont="1" applyFill="1" applyBorder="1" applyAlignment="1">
      <alignment horizontal="center" vertical="center" wrapText="1"/>
    </xf>
    <xf numFmtId="0" fontId="16" fillId="0" borderId="1" xfId="16" applyFont="1" applyFill="1" applyBorder="1" applyAlignment="1">
      <alignment horizontal="center" vertical="top" wrapText="1"/>
    </xf>
    <xf numFmtId="0" fontId="18" fillId="0" borderId="2"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3"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5"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2" fillId="17" borderId="25" xfId="16" applyFont="1" applyFill="1" applyBorder="1" applyAlignment="1">
      <alignment horizontal="center" vertical="center" wrapText="1"/>
    </xf>
    <xf numFmtId="0" fontId="16" fillId="0" borderId="1" xfId="16" applyFont="1" applyFill="1" applyBorder="1" applyAlignment="1" applyProtection="1">
      <alignment horizontal="left" vertical="center" wrapText="1"/>
      <protection locked="0"/>
    </xf>
    <xf numFmtId="10" fontId="16" fillId="0" borderId="2" xfId="0"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wrapText="1"/>
    </xf>
    <xf numFmtId="10" fontId="16" fillId="0" borderId="2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0" fontId="16" fillId="0" borderId="1" xfId="16" applyFont="1" applyFill="1" applyBorder="1" applyAlignment="1" applyProtection="1">
      <alignment horizontal="left" vertical="top" wrapText="1"/>
      <protection locked="0"/>
    </xf>
    <xf numFmtId="0" fontId="44" fillId="0" borderId="1" xfId="16" applyFont="1" applyFill="1" applyBorder="1" applyAlignment="1" applyProtection="1">
      <alignment horizontal="left" vertical="center" wrapText="1"/>
      <protection locked="0"/>
    </xf>
    <xf numFmtId="0" fontId="44" fillId="0" borderId="22" xfId="0" applyFont="1" applyBorder="1" applyAlignment="1">
      <alignment horizontal="center"/>
    </xf>
    <xf numFmtId="0" fontId="44" fillId="0" borderId="23" xfId="0" applyFont="1" applyBorder="1" applyAlignment="1">
      <alignment horizontal="center"/>
    </xf>
    <xf numFmtId="0" fontId="44" fillId="0" borderId="25" xfId="0" applyFont="1" applyBorder="1" applyAlignment="1">
      <alignment horizontal="center"/>
    </xf>
    <xf numFmtId="0" fontId="44" fillId="0" borderId="0" xfId="0" applyFont="1" applyAlignment="1">
      <alignment horizontal="center"/>
    </xf>
    <xf numFmtId="0" fontId="44" fillId="0" borderId="27" xfId="0" applyFont="1" applyBorder="1" applyAlignment="1">
      <alignment horizontal="center"/>
    </xf>
    <xf numFmtId="0" fontId="44" fillId="0" borderId="28" xfId="0" applyFont="1" applyBorder="1" applyAlignment="1">
      <alignment horizontal="center"/>
    </xf>
    <xf numFmtId="0" fontId="18" fillId="17" borderId="17"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8" fillId="17" borderId="43" xfId="0" applyFont="1" applyFill="1" applyBorder="1" applyAlignment="1">
      <alignment horizontal="left" vertical="center" wrapText="1"/>
    </xf>
    <xf numFmtId="0" fontId="18" fillId="17" borderId="29" xfId="0" applyFont="1" applyFill="1" applyBorder="1" applyAlignment="1">
      <alignment horizontal="left" vertical="center" wrapText="1"/>
    </xf>
    <xf numFmtId="0" fontId="18" fillId="17" borderId="30"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36" xfId="0" applyFont="1" applyFill="1" applyBorder="1" applyAlignment="1">
      <alignment horizontal="left" vertical="center" wrapText="1"/>
    </xf>
    <xf numFmtId="0" fontId="18" fillId="3" borderId="45" xfId="0" applyFont="1" applyFill="1" applyBorder="1" applyAlignment="1">
      <alignment horizontal="left" vertical="center" wrapText="1"/>
    </xf>
    <xf numFmtId="0" fontId="18" fillId="3" borderId="46"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17" borderId="39" xfId="0" applyFont="1" applyFill="1" applyBorder="1" applyAlignment="1">
      <alignment horizontal="left" vertical="center" wrapText="1"/>
    </xf>
    <xf numFmtId="0" fontId="18" fillId="17" borderId="31" xfId="0" applyFont="1" applyFill="1" applyBorder="1" applyAlignment="1">
      <alignment horizontal="left" vertical="center" wrapText="1"/>
    </xf>
    <xf numFmtId="0" fontId="18" fillId="17" borderId="3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44" xfId="0" applyFont="1" applyFill="1" applyBorder="1" applyAlignment="1">
      <alignment horizontal="left" vertical="center" wrapText="1"/>
    </xf>
    <xf numFmtId="9" fontId="16" fillId="0" borderId="1" xfId="24" applyFont="1" applyFill="1" applyBorder="1" applyAlignment="1" applyProtection="1">
      <alignment horizontal="left" vertical="top" wrapText="1"/>
      <protection locked="0"/>
    </xf>
    <xf numFmtId="0" fontId="16" fillId="0" borderId="2" xfId="16" applyFont="1" applyFill="1" applyBorder="1" applyAlignment="1" applyProtection="1">
      <alignment horizontal="left" vertical="top" wrapText="1"/>
      <protection locked="0"/>
    </xf>
    <xf numFmtId="0" fontId="16" fillId="0" borderId="5" xfId="16" applyFont="1" applyFill="1" applyBorder="1" applyAlignment="1" applyProtection="1">
      <alignment horizontal="left" vertical="top" wrapText="1"/>
      <protection locked="0"/>
    </xf>
    <xf numFmtId="0" fontId="54" fillId="0" borderId="20" xfId="0" applyFont="1" applyBorder="1" applyAlignment="1">
      <alignment horizontal="center" vertical="center"/>
    </xf>
    <xf numFmtId="0" fontId="54" fillId="0" borderId="14" xfId="0" applyFont="1" applyBorder="1" applyAlignment="1">
      <alignment horizontal="center" vertical="center"/>
    </xf>
    <xf numFmtId="0" fontId="54" fillId="0" borderId="1" xfId="0" applyFont="1" applyBorder="1" applyAlignment="1">
      <alignment horizontal="center" vertical="center"/>
    </xf>
    <xf numFmtId="0" fontId="54" fillId="0" borderId="1" xfId="0" applyFont="1" applyFill="1" applyBorder="1" applyAlignment="1">
      <alignment horizontal="center" vertical="center"/>
    </xf>
    <xf numFmtId="0" fontId="55" fillId="18" borderId="39" xfId="0" applyFont="1" applyFill="1" applyBorder="1" applyAlignment="1">
      <alignment horizontal="center" vertical="center"/>
    </xf>
    <xf numFmtId="0" fontId="55" fillId="18" borderId="31" xfId="0" applyFont="1" applyFill="1" applyBorder="1" applyAlignment="1">
      <alignment horizontal="center" vertical="center"/>
    </xf>
    <xf numFmtId="0" fontId="55" fillId="18" borderId="32" xfId="0" applyFont="1" applyFill="1" applyBorder="1" applyAlignment="1">
      <alignment horizontal="center" vertical="center"/>
    </xf>
    <xf numFmtId="0" fontId="54" fillId="0" borderId="2" xfId="0" applyFont="1" applyBorder="1" applyAlignment="1">
      <alignment horizontal="center" vertical="center"/>
    </xf>
    <xf numFmtId="0" fontId="54" fillId="0" borderId="21" xfId="0" applyFont="1" applyBorder="1" applyAlignment="1">
      <alignment horizontal="center" vertical="center"/>
    </xf>
    <xf numFmtId="0" fontId="54" fillId="0" borderId="5"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55" fillId="18" borderId="39" xfId="0" applyFont="1" applyFill="1" applyBorder="1" applyAlignment="1">
      <alignment horizontal="center"/>
    </xf>
    <xf numFmtId="0" fontId="55" fillId="18" borderId="31" xfId="0" applyFont="1" applyFill="1" applyBorder="1" applyAlignment="1">
      <alignment horizontal="center"/>
    </xf>
    <xf numFmtId="0" fontId="55" fillId="18" borderId="32" xfId="0" applyFont="1" applyFill="1" applyBorder="1" applyAlignment="1">
      <alignment horizontal="center"/>
    </xf>
    <xf numFmtId="0" fontId="45" fillId="16" borderId="1" xfId="0" applyFont="1" applyFill="1" applyBorder="1" applyAlignment="1">
      <alignment horizontal="center" vertical="center" wrapText="1"/>
    </xf>
    <xf numFmtId="0" fontId="54" fillId="0" borderId="38" xfId="0" applyFont="1" applyBorder="1" applyAlignment="1">
      <alignment horizontal="center" vertic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3" xfId="0" applyFont="1" applyBorder="1" applyAlignment="1">
      <alignment horizontal="center"/>
    </xf>
    <xf numFmtId="0" fontId="53" fillId="0" borderId="29" xfId="0" applyFont="1" applyBorder="1" applyAlignment="1">
      <alignment horizontal="center"/>
    </xf>
    <xf numFmtId="0" fontId="52" fillId="0" borderId="45" xfId="0" applyFont="1" applyBorder="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54" fillId="17" borderId="22" xfId="0" applyFont="1" applyFill="1" applyBorder="1" applyAlignment="1">
      <alignment horizontal="left" vertical="center"/>
    </xf>
    <xf numFmtId="0" fontId="54" fillId="17" borderId="36" xfId="0" applyFont="1" applyFill="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54" fillId="17" borderId="45" xfId="0" applyFont="1" applyFill="1" applyBorder="1" applyAlignment="1">
      <alignment horizontal="left" vertical="center"/>
    </xf>
    <xf numFmtId="0" fontId="54" fillId="17" borderId="47" xfId="0" applyFont="1" applyFill="1" applyBorder="1" applyAlignment="1">
      <alignment horizontal="left" vertical="center"/>
    </xf>
    <xf numFmtId="0" fontId="23" fillId="0" borderId="28" xfId="0" applyFont="1" applyBorder="1" applyAlignment="1">
      <alignment horizontal="left" vertical="center"/>
    </xf>
    <xf numFmtId="0" fontId="23" fillId="0" borderId="37" xfId="0" applyFont="1" applyBorder="1" applyAlignment="1">
      <alignment horizontal="left" vertical="center"/>
    </xf>
    <xf numFmtId="0" fontId="54" fillId="0" borderId="15" xfId="0" applyFont="1"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54" fillId="0" borderId="13" xfId="0" applyFont="1" applyBorder="1" applyAlignment="1">
      <alignment horizontal="center" vertical="center"/>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43" fillId="0" borderId="75" xfId="0" applyFont="1" applyBorder="1" applyAlignment="1">
      <alignment horizontal="center" vertical="center" wrapText="1"/>
    </xf>
    <xf numFmtId="0" fontId="43" fillId="0" borderId="78"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71" xfId="0" applyFont="1" applyBorder="1" applyAlignment="1">
      <alignment horizontal="center" vertical="center"/>
    </xf>
    <xf numFmtId="0" fontId="3" fillId="0" borderId="7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70" fillId="0" borderId="73" xfId="0" applyFont="1" applyBorder="1" applyAlignment="1">
      <alignment horizontal="left" vertical="center" wrapText="1"/>
    </xf>
    <xf numFmtId="0" fontId="70" fillId="0" borderId="21" xfId="0" applyFont="1" applyBorder="1" applyAlignment="1">
      <alignment horizontal="left" vertical="center" wrapText="1"/>
    </xf>
    <xf numFmtId="0" fontId="70" fillId="0" borderId="5" xfId="0" applyFont="1" applyBorder="1" applyAlignment="1">
      <alignment horizontal="left" vertical="center" wrapText="1"/>
    </xf>
    <xf numFmtId="0" fontId="47" fillId="17" borderId="71" xfId="0" applyFont="1" applyFill="1" applyBorder="1" applyAlignment="1">
      <alignment horizontal="center" vertical="center" wrapText="1"/>
    </xf>
    <xf numFmtId="3" fontId="0" fillId="17" borderId="71" xfId="0" applyNumberFormat="1" applyFill="1" applyBorder="1" applyAlignment="1">
      <alignment horizontal="center" vertical="center" wrapText="1"/>
    </xf>
    <xf numFmtId="0" fontId="45" fillId="16" borderId="75" xfId="0" applyFont="1" applyFill="1" applyBorder="1" applyAlignment="1">
      <alignment horizontal="center" vertical="center"/>
    </xf>
    <xf numFmtId="0" fontId="45" fillId="16" borderId="78" xfId="0" applyFont="1" applyFill="1" applyBorder="1" applyAlignment="1">
      <alignment horizontal="center" vertical="center"/>
    </xf>
    <xf numFmtId="0" fontId="45" fillId="16" borderId="72" xfId="0" applyFont="1" applyFill="1" applyBorder="1" applyAlignment="1">
      <alignment horizontal="center" vertical="center"/>
    </xf>
    <xf numFmtId="0" fontId="45" fillId="16" borderId="71"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21" xfId="0" applyFont="1" applyBorder="1" applyAlignment="1">
      <alignment horizontal="left" vertical="center" wrapText="1"/>
    </xf>
    <xf numFmtId="0" fontId="3" fillId="0" borderId="5" xfId="0" applyFont="1" applyBorder="1" applyAlignment="1">
      <alignment horizontal="left" vertical="center" wrapText="1"/>
    </xf>
    <xf numFmtId="0" fontId="10" fillId="17" borderId="47"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31" fillId="17" borderId="74" xfId="19" applyFont="1" applyFill="1" applyBorder="1" applyAlignment="1">
      <alignment horizontal="left" vertical="center" wrapText="1"/>
    </xf>
    <xf numFmtId="0" fontId="31" fillId="17" borderId="76" xfId="19" applyFont="1" applyFill="1" applyBorder="1" applyAlignment="1">
      <alignment horizontal="left" vertical="center" wrapText="1"/>
    </xf>
    <xf numFmtId="0" fontId="31" fillId="17" borderId="77" xfId="19" applyFont="1" applyFill="1" applyBorder="1" applyAlignment="1">
      <alignment horizontal="left" vertical="center" wrapText="1"/>
    </xf>
    <xf numFmtId="0" fontId="11" fillId="0" borderId="55"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31" fillId="0" borderId="22" xfId="19" applyFont="1" applyBorder="1" applyAlignment="1">
      <alignment horizontal="center" vertical="center" wrapText="1"/>
    </xf>
    <xf numFmtId="0" fontId="31" fillId="0" borderId="23" xfId="19" applyFont="1" applyBorder="1" applyAlignment="1">
      <alignment horizontal="center"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2" fillId="17" borderId="45"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21" borderId="31"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21" borderId="3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3" fillId="17" borderId="71" xfId="0" applyFont="1" applyFill="1" applyBorder="1" applyAlignment="1">
      <alignment horizontal="center" vertical="center"/>
    </xf>
    <xf numFmtId="0" fontId="5" fillId="17" borderId="73"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15" borderId="2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36" xfId="0" applyFont="1" applyFill="1" applyBorder="1" applyAlignment="1">
      <alignment horizontal="left" vertical="center" wrapText="1"/>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36" xfId="0" applyFont="1" applyFill="1" applyBorder="1" applyAlignment="1">
      <alignment horizontal="left" vertical="center"/>
    </xf>
    <xf numFmtId="0" fontId="10" fillId="17" borderId="45"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3" borderId="55" xfId="0" applyFont="1" applyFill="1" applyBorder="1" applyAlignment="1">
      <alignment horizontal="left" vertical="center"/>
    </xf>
    <xf numFmtId="0" fontId="10" fillId="3" borderId="49" xfId="0" applyFont="1" applyFill="1" applyBorder="1" applyAlignment="1">
      <alignment horizontal="left" vertical="center"/>
    </xf>
    <xf numFmtId="0" fontId="10" fillId="3" borderId="50" xfId="0" applyFont="1" applyFill="1" applyBorder="1" applyAlignment="1">
      <alignment horizontal="left" vertical="center"/>
    </xf>
    <xf numFmtId="171" fontId="87" fillId="28" borderId="57" xfId="5" applyFont="1" applyFill="1" applyBorder="1" applyAlignment="1">
      <alignment horizontal="center" vertical="center" wrapText="1"/>
    </xf>
    <xf numFmtId="0" fontId="73" fillId="31" borderId="71" xfId="0" applyFont="1" applyFill="1" applyBorder="1" applyAlignment="1">
      <alignment horizontal="center" vertical="center" wrapText="1"/>
    </xf>
    <xf numFmtId="0" fontId="73" fillId="31" borderId="71" xfId="0" applyFont="1" applyFill="1" applyBorder="1" applyAlignment="1">
      <alignment horizontal="center" vertical="center"/>
    </xf>
    <xf numFmtId="0" fontId="73" fillId="32" borderId="57" xfId="0" applyFont="1" applyFill="1" applyBorder="1" applyAlignment="1">
      <alignment horizontal="center" vertical="center" wrapText="1"/>
    </xf>
    <xf numFmtId="0" fontId="73" fillId="32" borderId="0" xfId="0" applyFont="1" applyFill="1" applyAlignment="1">
      <alignment horizontal="center" vertical="center" wrapText="1"/>
    </xf>
    <xf numFmtId="0" fontId="20" fillId="31" borderId="71" xfId="0" applyFont="1" applyFill="1" applyBorder="1" applyAlignment="1">
      <alignment horizontal="center" vertical="center" wrapText="1"/>
    </xf>
    <xf numFmtId="174" fontId="0" fillId="29" borderId="0" xfId="0" applyNumberFormat="1" applyFill="1" applyAlignment="1">
      <alignment horizontal="center" vertical="center"/>
    </xf>
    <xf numFmtId="0" fontId="88" fillId="0" borderId="71" xfId="16" applyFont="1" applyBorder="1" applyAlignment="1">
      <alignment horizontal="center" vertical="center" wrapText="1"/>
    </xf>
    <xf numFmtId="171" fontId="72" fillId="27" borderId="73" xfId="5" applyFont="1" applyFill="1" applyBorder="1" applyAlignment="1">
      <alignment horizontal="center" vertical="center" wrapText="1"/>
    </xf>
    <xf numFmtId="171" fontId="72" fillId="27" borderId="5" xfId="5" applyFont="1" applyFill="1" applyBorder="1" applyAlignment="1">
      <alignment horizontal="center" vertical="center" wrapText="1"/>
    </xf>
    <xf numFmtId="0" fontId="85" fillId="0" borderId="52" xfId="16" applyFont="1" applyBorder="1" applyAlignment="1">
      <alignment horizontal="center" vertical="center" wrapText="1"/>
    </xf>
    <xf numFmtId="0" fontId="85" fillId="0" borderId="0" xfId="16" applyFont="1" applyAlignment="1">
      <alignment horizontal="center" vertical="center" wrapText="1"/>
    </xf>
    <xf numFmtId="0" fontId="88" fillId="0" borderId="73" xfId="16" applyFont="1" applyBorder="1" applyAlignment="1">
      <alignment horizontal="center" vertical="top" wrapText="1"/>
    </xf>
    <xf numFmtId="0" fontId="88" fillId="0" borderId="5" xfId="16" applyFont="1" applyBorder="1" applyAlignment="1">
      <alignment horizontal="center" vertical="top" wrapText="1"/>
    </xf>
    <xf numFmtId="171" fontId="63" fillId="28" borderId="57" xfId="5" applyFont="1" applyFill="1" applyBorder="1" applyAlignment="1">
      <alignment horizontal="center" vertical="center"/>
    </xf>
    <xf numFmtId="10" fontId="63" fillId="29" borderId="0" xfId="24" applyNumberFormat="1" applyFont="1" applyFill="1" applyBorder="1" applyAlignment="1">
      <alignment horizontal="center" vertical="center"/>
    </xf>
    <xf numFmtId="171" fontId="90" fillId="0" borderId="41" xfId="5" applyFont="1" applyFill="1" applyBorder="1" applyAlignment="1">
      <alignment horizontal="center" vertical="center"/>
    </xf>
    <xf numFmtId="171" fontId="90" fillId="0" borderId="42" xfId="5" applyFont="1" applyFill="1" applyBorder="1" applyAlignment="1">
      <alignment horizontal="center" vertical="center"/>
    </xf>
    <xf numFmtId="0" fontId="85" fillId="0" borderId="53" xfId="16" applyFont="1" applyBorder="1" applyAlignment="1">
      <alignment horizontal="center" vertical="center" wrapText="1"/>
    </xf>
    <xf numFmtId="0" fontId="85" fillId="0" borderId="9" xfId="16" applyFont="1" applyBorder="1" applyAlignment="1">
      <alignment horizontal="center" vertical="center" wrapText="1"/>
    </xf>
    <xf numFmtId="0" fontId="12" fillId="0" borderId="73" xfId="16" applyFont="1" applyBorder="1" applyAlignment="1">
      <alignment horizontal="center" vertical="center" wrapText="1"/>
    </xf>
    <xf numFmtId="0" fontId="12" fillId="0" borderId="21" xfId="16" applyFont="1" applyBorder="1" applyAlignment="1">
      <alignment horizontal="center" vertical="center" wrapText="1"/>
    </xf>
    <xf numFmtId="9" fontId="72" fillId="27" borderId="73" xfId="24" applyFont="1" applyFill="1" applyBorder="1" applyAlignment="1">
      <alignment horizontal="center" vertical="center" wrapText="1"/>
    </xf>
    <xf numFmtId="9" fontId="72" fillId="27" borderId="5" xfId="24" applyFont="1" applyFill="1" applyBorder="1" applyAlignment="1">
      <alignment horizontal="center" vertical="center" wrapText="1"/>
    </xf>
    <xf numFmtId="10" fontId="72" fillId="28" borderId="51" xfId="24" applyNumberFormat="1" applyFont="1" applyFill="1" applyBorder="1" applyAlignment="1">
      <alignment horizontal="center" vertical="center" wrapText="1"/>
    </xf>
    <xf numFmtId="10" fontId="72" fillId="28" borderId="57" xfId="24" applyNumberFormat="1" applyFont="1" applyFill="1" applyBorder="1" applyAlignment="1">
      <alignment horizontal="center" vertical="center" wrapText="1"/>
    </xf>
    <xf numFmtId="10" fontId="72" fillId="29" borderId="51" xfId="24" applyNumberFormat="1" applyFont="1" applyFill="1" applyBorder="1" applyAlignment="1">
      <alignment horizontal="center" vertical="center" wrapText="1"/>
    </xf>
    <xf numFmtId="10" fontId="72" fillId="29" borderId="57" xfId="24" applyNumberFormat="1" applyFont="1" applyFill="1" applyBorder="1" applyAlignment="1">
      <alignment horizontal="center" vertical="center" wrapText="1"/>
    </xf>
    <xf numFmtId="180" fontId="3" fillId="0" borderId="73" xfId="0" applyNumberFormat="1" applyFont="1" applyBorder="1" applyAlignment="1">
      <alignment vertical="center"/>
    </xf>
    <xf numFmtId="180" fontId="3" fillId="0" borderId="73" xfId="0" applyNumberFormat="1" applyFont="1" applyBorder="1" applyAlignment="1" applyProtection="1">
      <alignment horizontal="center" vertical="center"/>
      <protection locked="0"/>
    </xf>
    <xf numFmtId="3" fontId="3" fillId="0" borderId="73" xfId="0" applyNumberFormat="1" applyFont="1" applyBorder="1" applyAlignment="1" applyProtection="1">
      <alignment vertical="center" wrapText="1"/>
      <protection locked="0"/>
    </xf>
    <xf numFmtId="180" fontId="3" fillId="0" borderId="73" xfId="0" applyNumberFormat="1" applyFont="1" applyBorder="1" applyAlignment="1" applyProtection="1">
      <alignment vertical="center"/>
      <protection locked="0"/>
    </xf>
    <xf numFmtId="180" fontId="3" fillId="0" borderId="73" xfId="0" applyNumberFormat="1" applyFont="1" applyBorder="1" applyAlignment="1">
      <alignment horizontal="center" vertical="center" wrapText="1"/>
    </xf>
    <xf numFmtId="0" fontId="70" fillId="0" borderId="73" xfId="0" applyFont="1" applyBorder="1" applyAlignment="1">
      <alignment vertical="center" wrapText="1"/>
    </xf>
    <xf numFmtId="0" fontId="3" fillId="0" borderId="73" xfId="0" applyFont="1" applyBorder="1" applyAlignment="1">
      <alignment vertical="center" wrapText="1"/>
    </xf>
    <xf numFmtId="0" fontId="57" fillId="0" borderId="73" xfId="0" applyFont="1" applyBorder="1" applyAlignment="1">
      <alignment vertical="center" wrapText="1"/>
    </xf>
    <xf numFmtId="0" fontId="3" fillId="0" borderId="73" xfId="0" applyFont="1" applyBorder="1" applyAlignment="1" applyProtection="1">
      <alignment vertical="center" wrapText="1"/>
      <protection locked="0"/>
    </xf>
    <xf numFmtId="176" fontId="3" fillId="0" borderId="73" xfId="5" applyNumberFormat="1" applyFont="1" applyFill="1" applyBorder="1" applyAlignment="1">
      <alignment vertical="center" wrapText="1"/>
    </xf>
    <xf numFmtId="0" fontId="43" fillId="0" borderId="73" xfId="0" applyFont="1" applyBorder="1" applyAlignment="1">
      <alignment vertical="center" wrapText="1"/>
    </xf>
    <xf numFmtId="1" fontId="3" fillId="0" borderId="73" xfId="0" applyNumberFormat="1" applyFont="1" applyBorder="1" applyAlignment="1">
      <alignment vertical="center" wrapText="1"/>
    </xf>
    <xf numFmtId="0" fontId="0" fillId="0" borderId="73" xfId="0" applyBorder="1" applyAlignment="1">
      <alignment vertical="center"/>
    </xf>
    <xf numFmtId="0" fontId="0" fillId="0" borderId="73" xfId="0" applyBorder="1" applyAlignment="1" applyProtection="1">
      <alignment vertical="center"/>
      <protection locked="0"/>
    </xf>
    <xf numFmtId="180" fontId="3" fillId="17" borderId="71" xfId="10" applyNumberFormat="1" applyFont="1" applyFill="1" applyBorder="1" applyAlignment="1" applyProtection="1">
      <alignment horizontal="center" vertical="center" wrapText="1"/>
      <protection locked="0"/>
    </xf>
    <xf numFmtId="0" fontId="0" fillId="17" borderId="71" xfId="0" applyFill="1" applyBorder="1"/>
  </cellXfs>
  <cellStyles count="371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318" xr:uid="{00000000-0005-0000-0000-00000C000000}"/>
    <cellStyle name="BodyStyleWithBorder 2 2_TERRITORIALIZACIÓN" xfId="3361" xr:uid="{00000000-0005-0000-0000-00000D000000}"/>
    <cellStyle name="BodyStyleWithBorder 2 3" xfId="40" xr:uid="{00000000-0005-0000-0000-00000E000000}"/>
    <cellStyle name="BodyStyleWithBorder 2 3 2" xfId="3317" xr:uid="{00000000-0005-0000-0000-00000F000000}"/>
    <cellStyle name="BodyStyleWithBorder 2 3_TERRITORIALIZACIÓN" xfId="3360" xr:uid="{00000000-0005-0000-0000-000010000000}"/>
    <cellStyle name="BodyStyleWithBorder 2 4" xfId="41" xr:uid="{00000000-0005-0000-0000-000011000000}"/>
    <cellStyle name="BodyStyleWithBorder 2 4 2" xfId="3316" xr:uid="{00000000-0005-0000-0000-000012000000}"/>
    <cellStyle name="BodyStyleWithBorder 2 4_TERRITORIALIZACIÓN" xfId="3359" xr:uid="{00000000-0005-0000-0000-000013000000}"/>
    <cellStyle name="BodyStyleWithBorder 2 5" xfId="3319" xr:uid="{00000000-0005-0000-0000-000014000000}"/>
    <cellStyle name="BodyStyleWithBorder 2_TERRITORIALIZACIÓN" xfId="3362" xr:uid="{00000000-0005-0000-0000-000015000000}"/>
    <cellStyle name="BodyStyleWithBorder 3" xfId="42" xr:uid="{00000000-0005-0000-0000-000016000000}"/>
    <cellStyle name="BodyStyleWithBorder 3 2" xfId="3315" xr:uid="{00000000-0005-0000-0000-000017000000}"/>
    <cellStyle name="BodyStyleWithBorder 3_TERRITORIALIZACIÓN" xfId="3358" xr:uid="{00000000-0005-0000-0000-000018000000}"/>
    <cellStyle name="BodyStyleWithBorder 4" xfId="43" xr:uid="{00000000-0005-0000-0000-000019000000}"/>
    <cellStyle name="BodyStyleWithBorder 4 2" xfId="3314" xr:uid="{00000000-0005-0000-0000-00001A000000}"/>
    <cellStyle name="BodyStyleWithBorder 4_TERRITORIALIZACIÓN" xfId="3357" xr:uid="{00000000-0005-0000-0000-00001B000000}"/>
    <cellStyle name="BodyStyleWithBorder 5" xfId="44" xr:uid="{00000000-0005-0000-0000-00001C000000}"/>
    <cellStyle name="BodyStyleWithBorder 5 2" xfId="3313" xr:uid="{00000000-0005-0000-0000-00001D000000}"/>
    <cellStyle name="BodyStyleWithBorder 5_TERRITORIALIZACIÓN" xfId="3215" xr:uid="{00000000-0005-0000-0000-00001E000000}"/>
    <cellStyle name="BodyStyleWithBorder 6" xfId="3320" xr:uid="{00000000-0005-0000-0000-00001F000000}"/>
    <cellStyle name="BodyStyleWithBorder_TERRITORIALIZACIÓN" xfId="3216" xr:uid="{00000000-0005-0000-0000-000020000000}"/>
    <cellStyle name="BorderThinBlack" xfId="45" xr:uid="{00000000-0005-0000-0000-000021000000}"/>
    <cellStyle name="BorderThinBlack 2" xfId="46" xr:uid="{00000000-0005-0000-0000-000022000000}"/>
    <cellStyle name="BorderThinBlack 2 2" xfId="47" xr:uid="{00000000-0005-0000-0000-000023000000}"/>
    <cellStyle name="BorderThinBlack 2 2 2" xfId="48" xr:uid="{00000000-0005-0000-0000-000024000000}"/>
    <cellStyle name="BorderThinBlack 2 2 2 2" xfId="49" xr:uid="{00000000-0005-0000-0000-000025000000}"/>
    <cellStyle name="BorderThinBlack 2 2 2 2 2" xfId="3308" xr:uid="{00000000-0005-0000-0000-000026000000}"/>
    <cellStyle name="BorderThinBlack 2 2 2 3" xfId="50" xr:uid="{00000000-0005-0000-0000-000027000000}"/>
    <cellStyle name="BorderThinBlack 2 2 2 3 2" xfId="3307" xr:uid="{00000000-0005-0000-0000-000028000000}"/>
    <cellStyle name="BorderThinBlack 2 2 2 4" xfId="51" xr:uid="{00000000-0005-0000-0000-000029000000}"/>
    <cellStyle name="BorderThinBlack 2 2 2 4 2" xfId="3306" xr:uid="{00000000-0005-0000-0000-00002A000000}"/>
    <cellStyle name="BorderThinBlack 2 2 2 5" xfId="3309" xr:uid="{00000000-0005-0000-0000-00002B000000}"/>
    <cellStyle name="BorderThinBlack 2 2 3" xfId="52" xr:uid="{00000000-0005-0000-0000-00002C000000}"/>
    <cellStyle name="BorderThinBlack 2 2 3 2" xfId="3305" xr:uid="{00000000-0005-0000-0000-00002D000000}"/>
    <cellStyle name="BorderThinBlack 2 2 4" xfId="53" xr:uid="{00000000-0005-0000-0000-00002E000000}"/>
    <cellStyle name="BorderThinBlack 2 2 4 2" xfId="3304" xr:uid="{00000000-0005-0000-0000-00002F000000}"/>
    <cellStyle name="BorderThinBlack 2 2 5" xfId="54" xr:uid="{00000000-0005-0000-0000-000030000000}"/>
    <cellStyle name="BorderThinBlack 2 2 5 2" xfId="3303" xr:uid="{00000000-0005-0000-0000-000031000000}"/>
    <cellStyle name="BorderThinBlack 2 2 6" xfId="3310" xr:uid="{00000000-0005-0000-0000-000032000000}"/>
    <cellStyle name="BorderThinBlack 2 3" xfId="55" xr:uid="{00000000-0005-0000-0000-000033000000}"/>
    <cellStyle name="BorderThinBlack 2 3 2" xfId="3302" xr:uid="{00000000-0005-0000-0000-000034000000}"/>
    <cellStyle name="BorderThinBlack 2 4" xfId="56" xr:uid="{00000000-0005-0000-0000-000035000000}"/>
    <cellStyle name="BorderThinBlack 2 4 2" xfId="3301" xr:uid="{00000000-0005-0000-0000-000036000000}"/>
    <cellStyle name="BorderThinBlack 2 5" xfId="57" xr:uid="{00000000-0005-0000-0000-000037000000}"/>
    <cellStyle name="BorderThinBlack 2 5 2" xfId="3300" xr:uid="{00000000-0005-0000-0000-000038000000}"/>
    <cellStyle name="BorderThinBlack 2 6" xfId="3311" xr:uid="{00000000-0005-0000-0000-000039000000}"/>
    <cellStyle name="BorderThinBlack 3" xfId="58" xr:uid="{00000000-0005-0000-0000-00003A000000}"/>
    <cellStyle name="BorderThinBlack 3 2" xfId="59" xr:uid="{00000000-0005-0000-0000-00003B000000}"/>
    <cellStyle name="BorderThinBlack 3 2 2" xfId="60" xr:uid="{00000000-0005-0000-0000-00003C000000}"/>
    <cellStyle name="BorderThinBlack 3 2 2 2" xfId="3297" xr:uid="{00000000-0005-0000-0000-00003D000000}"/>
    <cellStyle name="BorderThinBlack 3 2 3" xfId="61" xr:uid="{00000000-0005-0000-0000-00003E000000}"/>
    <cellStyle name="BorderThinBlack 3 2 3 2" xfId="3296" xr:uid="{00000000-0005-0000-0000-00003F000000}"/>
    <cellStyle name="BorderThinBlack 3 2 4" xfId="62" xr:uid="{00000000-0005-0000-0000-000040000000}"/>
    <cellStyle name="BorderThinBlack 3 2 4 2" xfId="3295" xr:uid="{00000000-0005-0000-0000-000041000000}"/>
    <cellStyle name="BorderThinBlack 3 2 5" xfId="3298" xr:uid="{00000000-0005-0000-0000-000042000000}"/>
    <cellStyle name="BorderThinBlack 3 3" xfId="63" xr:uid="{00000000-0005-0000-0000-000043000000}"/>
    <cellStyle name="BorderThinBlack 3 3 2" xfId="3294" xr:uid="{00000000-0005-0000-0000-000044000000}"/>
    <cellStyle name="BorderThinBlack 3 4" xfId="64" xr:uid="{00000000-0005-0000-0000-000045000000}"/>
    <cellStyle name="BorderThinBlack 3 4 2" xfId="3293" xr:uid="{00000000-0005-0000-0000-000046000000}"/>
    <cellStyle name="BorderThinBlack 3 5" xfId="65" xr:uid="{00000000-0005-0000-0000-000047000000}"/>
    <cellStyle name="BorderThinBlack 3 5 2" xfId="3292" xr:uid="{00000000-0005-0000-0000-000048000000}"/>
    <cellStyle name="BorderThinBlack 3 6" xfId="3299" xr:uid="{00000000-0005-0000-0000-000049000000}"/>
    <cellStyle name="BorderThinBlack 4" xfId="66" xr:uid="{00000000-0005-0000-0000-00004A000000}"/>
    <cellStyle name="BorderThinBlack 4 2" xfId="3291" xr:uid="{00000000-0005-0000-0000-00004B000000}"/>
    <cellStyle name="BorderThinBlack 5" xfId="67" xr:uid="{00000000-0005-0000-0000-00004C000000}"/>
    <cellStyle name="BorderThinBlack 5 2" xfId="3290" xr:uid="{00000000-0005-0000-0000-00004D000000}"/>
    <cellStyle name="BorderThinBlack 6" xfId="68" xr:uid="{00000000-0005-0000-0000-00004E000000}"/>
    <cellStyle name="BorderThinBlack 6 2" xfId="3289" xr:uid="{00000000-0005-0000-0000-00004F000000}"/>
    <cellStyle name="BorderThinBlack 7" xfId="3312" xr:uid="{00000000-0005-0000-0000-000050000000}"/>
    <cellStyle name="Coma 2" xfId="1" xr:uid="{00000000-0005-0000-0000-000051000000}"/>
    <cellStyle name="Coma 2 2" xfId="2" xr:uid="{00000000-0005-0000-0000-000052000000}"/>
    <cellStyle name="Comma" xfId="69" xr:uid="{00000000-0005-0000-0000-000053000000}"/>
    <cellStyle name="Comma [0]" xfId="70" xr:uid="{00000000-0005-0000-0000-000054000000}"/>
    <cellStyle name="Comma [0] 2" xfId="71" xr:uid="{00000000-0005-0000-0000-000055000000}"/>
    <cellStyle name="Comma [0] 2 2" xfId="72" xr:uid="{00000000-0005-0000-0000-000056000000}"/>
    <cellStyle name="Comma [0] 2 2 2" xfId="73" xr:uid="{00000000-0005-0000-0000-000057000000}"/>
    <cellStyle name="Comma [0] 2 2 2 2" xfId="2872" xr:uid="{00000000-0005-0000-0000-000058000000}"/>
    <cellStyle name="Comma [0] 2 2 2 2 2" xfId="2969" xr:uid="{00000000-0005-0000-0000-000059000000}"/>
    <cellStyle name="Comma [0] 2 2 2 2 2 2" xfId="3168" xr:uid="{00000000-0005-0000-0000-00005A000000}"/>
    <cellStyle name="Comma [0] 2 2 2 2 2 2 2" xfId="3662" xr:uid="{00000000-0005-0000-0000-00005B000000}"/>
    <cellStyle name="Comma [0] 2 2 2 2 2 3" xfId="3464" xr:uid="{00000000-0005-0000-0000-00005C000000}"/>
    <cellStyle name="Comma [0] 2 2 2 2 3" xfId="3072" xr:uid="{00000000-0005-0000-0000-00005D000000}"/>
    <cellStyle name="Comma [0] 2 2 2 2 3 2" xfId="3566" xr:uid="{00000000-0005-0000-0000-00005E000000}"/>
    <cellStyle name="Comma [0] 2 2 2 2 4" xfId="3368" xr:uid="{00000000-0005-0000-0000-00005F000000}"/>
    <cellStyle name="Comma [0] 2 2 2 3" xfId="2921" xr:uid="{00000000-0005-0000-0000-000060000000}"/>
    <cellStyle name="Comma [0] 2 2 2 3 2" xfId="3120" xr:uid="{00000000-0005-0000-0000-000061000000}"/>
    <cellStyle name="Comma [0] 2 2 2 3 2 2" xfId="3614" xr:uid="{00000000-0005-0000-0000-000062000000}"/>
    <cellStyle name="Comma [0] 2 2 2 3 3" xfId="3416" xr:uid="{00000000-0005-0000-0000-000063000000}"/>
    <cellStyle name="Comma [0] 2 2 2 4" xfId="3019" xr:uid="{00000000-0005-0000-0000-000064000000}"/>
    <cellStyle name="Comma [0] 2 2 2 4 2" xfId="3513" xr:uid="{00000000-0005-0000-0000-000065000000}"/>
    <cellStyle name="Comma [0] 2 2 2 5" xfId="3221" xr:uid="{00000000-0005-0000-0000-000066000000}"/>
    <cellStyle name="Comma [0] 2 2 3" xfId="2871" xr:uid="{00000000-0005-0000-0000-000067000000}"/>
    <cellStyle name="Comma [0] 2 2 3 2" xfId="2968" xr:uid="{00000000-0005-0000-0000-000068000000}"/>
    <cellStyle name="Comma [0] 2 2 3 2 2" xfId="3167" xr:uid="{00000000-0005-0000-0000-000069000000}"/>
    <cellStyle name="Comma [0] 2 2 3 2 2 2" xfId="3661" xr:uid="{00000000-0005-0000-0000-00006A000000}"/>
    <cellStyle name="Comma [0] 2 2 3 2 3" xfId="3463" xr:uid="{00000000-0005-0000-0000-00006B000000}"/>
    <cellStyle name="Comma [0] 2 2 3 3" xfId="3071" xr:uid="{00000000-0005-0000-0000-00006C000000}"/>
    <cellStyle name="Comma [0] 2 2 3 3 2" xfId="3565" xr:uid="{00000000-0005-0000-0000-00006D000000}"/>
    <cellStyle name="Comma [0] 2 2 3 4" xfId="3367" xr:uid="{00000000-0005-0000-0000-00006E000000}"/>
    <cellStyle name="Comma [0] 2 2 4" xfId="2920" xr:uid="{00000000-0005-0000-0000-00006F000000}"/>
    <cellStyle name="Comma [0] 2 2 4 2" xfId="3119" xr:uid="{00000000-0005-0000-0000-000070000000}"/>
    <cellStyle name="Comma [0] 2 2 4 2 2" xfId="3613" xr:uid="{00000000-0005-0000-0000-000071000000}"/>
    <cellStyle name="Comma [0] 2 2 4 3" xfId="3415" xr:uid="{00000000-0005-0000-0000-000072000000}"/>
    <cellStyle name="Comma [0] 2 2 5" xfId="3018" xr:uid="{00000000-0005-0000-0000-000073000000}"/>
    <cellStyle name="Comma [0] 2 2 5 2" xfId="3512" xr:uid="{00000000-0005-0000-0000-000074000000}"/>
    <cellStyle name="Comma [0] 2 2 6" xfId="3220" xr:uid="{00000000-0005-0000-0000-000075000000}"/>
    <cellStyle name="Comma [0] 2 3" xfId="74" xr:uid="{00000000-0005-0000-0000-000076000000}"/>
    <cellStyle name="Comma [0] 2 3 2" xfId="2873" xr:uid="{00000000-0005-0000-0000-000077000000}"/>
    <cellStyle name="Comma [0] 2 3 2 2" xfId="2970" xr:uid="{00000000-0005-0000-0000-000078000000}"/>
    <cellStyle name="Comma [0] 2 3 2 2 2" xfId="3169" xr:uid="{00000000-0005-0000-0000-000079000000}"/>
    <cellStyle name="Comma [0] 2 3 2 2 2 2" xfId="3663" xr:uid="{00000000-0005-0000-0000-00007A000000}"/>
    <cellStyle name="Comma [0] 2 3 2 2 3" xfId="3465" xr:uid="{00000000-0005-0000-0000-00007B000000}"/>
    <cellStyle name="Comma [0] 2 3 2 3" xfId="3073" xr:uid="{00000000-0005-0000-0000-00007C000000}"/>
    <cellStyle name="Comma [0] 2 3 2 3 2" xfId="3567" xr:uid="{00000000-0005-0000-0000-00007D000000}"/>
    <cellStyle name="Comma [0] 2 3 2 4" xfId="3369" xr:uid="{00000000-0005-0000-0000-00007E000000}"/>
    <cellStyle name="Comma [0] 2 3 3" xfId="2922" xr:uid="{00000000-0005-0000-0000-00007F000000}"/>
    <cellStyle name="Comma [0] 2 3 3 2" xfId="3121" xr:uid="{00000000-0005-0000-0000-000080000000}"/>
    <cellStyle name="Comma [0] 2 3 3 2 2" xfId="3615" xr:uid="{00000000-0005-0000-0000-000081000000}"/>
    <cellStyle name="Comma [0] 2 3 3 3" xfId="3417" xr:uid="{00000000-0005-0000-0000-000082000000}"/>
    <cellStyle name="Comma [0] 2 3 4" xfId="3020" xr:uid="{00000000-0005-0000-0000-000083000000}"/>
    <cellStyle name="Comma [0] 2 3 4 2" xfId="3514" xr:uid="{00000000-0005-0000-0000-000084000000}"/>
    <cellStyle name="Comma [0] 2 3 5" xfId="3222" xr:uid="{00000000-0005-0000-0000-000085000000}"/>
    <cellStyle name="Comma [0] 2 4" xfId="2870" xr:uid="{00000000-0005-0000-0000-000086000000}"/>
    <cellStyle name="Comma [0] 2 4 2" xfId="2967" xr:uid="{00000000-0005-0000-0000-000087000000}"/>
    <cellStyle name="Comma [0] 2 4 2 2" xfId="3166" xr:uid="{00000000-0005-0000-0000-000088000000}"/>
    <cellStyle name="Comma [0] 2 4 2 2 2" xfId="3660" xr:uid="{00000000-0005-0000-0000-000089000000}"/>
    <cellStyle name="Comma [0] 2 4 2 3" xfId="3462" xr:uid="{00000000-0005-0000-0000-00008A000000}"/>
    <cellStyle name="Comma [0] 2 4 3" xfId="3070" xr:uid="{00000000-0005-0000-0000-00008B000000}"/>
    <cellStyle name="Comma [0] 2 4 3 2" xfId="3564" xr:uid="{00000000-0005-0000-0000-00008C000000}"/>
    <cellStyle name="Comma [0] 2 4 4" xfId="3366" xr:uid="{00000000-0005-0000-0000-00008D000000}"/>
    <cellStyle name="Comma [0] 2 5" xfId="2919" xr:uid="{00000000-0005-0000-0000-00008E000000}"/>
    <cellStyle name="Comma [0] 2 5 2" xfId="3118" xr:uid="{00000000-0005-0000-0000-00008F000000}"/>
    <cellStyle name="Comma [0] 2 5 2 2" xfId="3612" xr:uid="{00000000-0005-0000-0000-000090000000}"/>
    <cellStyle name="Comma [0] 2 5 3" xfId="3414" xr:uid="{00000000-0005-0000-0000-000091000000}"/>
    <cellStyle name="Comma [0] 2 6" xfId="3017" xr:uid="{00000000-0005-0000-0000-000092000000}"/>
    <cellStyle name="Comma [0] 2 6 2" xfId="3511" xr:uid="{00000000-0005-0000-0000-000093000000}"/>
    <cellStyle name="Comma [0] 2 7" xfId="3219" xr:uid="{00000000-0005-0000-0000-000094000000}"/>
    <cellStyle name="Comma [0] 3" xfId="75" xr:uid="{00000000-0005-0000-0000-000095000000}"/>
    <cellStyle name="Comma [0] 3 2" xfId="2874" xr:uid="{00000000-0005-0000-0000-000096000000}"/>
    <cellStyle name="Comma [0] 3 2 2" xfId="2971" xr:uid="{00000000-0005-0000-0000-000097000000}"/>
    <cellStyle name="Comma [0] 3 2 2 2" xfId="3170" xr:uid="{00000000-0005-0000-0000-000098000000}"/>
    <cellStyle name="Comma [0] 3 2 2 2 2" xfId="3664" xr:uid="{00000000-0005-0000-0000-000099000000}"/>
    <cellStyle name="Comma [0] 3 2 2 3" xfId="3466" xr:uid="{00000000-0005-0000-0000-00009A000000}"/>
    <cellStyle name="Comma [0] 3 2 3" xfId="3074" xr:uid="{00000000-0005-0000-0000-00009B000000}"/>
    <cellStyle name="Comma [0] 3 2 3 2" xfId="3568" xr:uid="{00000000-0005-0000-0000-00009C000000}"/>
    <cellStyle name="Comma [0] 3 2 4" xfId="3370" xr:uid="{00000000-0005-0000-0000-00009D000000}"/>
    <cellStyle name="Comma [0] 3 3" xfId="2923" xr:uid="{00000000-0005-0000-0000-00009E000000}"/>
    <cellStyle name="Comma [0] 3 3 2" xfId="3122" xr:uid="{00000000-0005-0000-0000-00009F000000}"/>
    <cellStyle name="Comma [0] 3 3 2 2" xfId="3616" xr:uid="{00000000-0005-0000-0000-0000A0000000}"/>
    <cellStyle name="Comma [0] 3 3 3" xfId="3418" xr:uid="{00000000-0005-0000-0000-0000A1000000}"/>
    <cellStyle name="Comma [0] 3 4" xfId="3021" xr:uid="{00000000-0005-0000-0000-0000A2000000}"/>
    <cellStyle name="Comma [0] 3 4 2" xfId="3515" xr:uid="{00000000-0005-0000-0000-0000A3000000}"/>
    <cellStyle name="Comma [0] 3 5" xfId="3223" xr:uid="{00000000-0005-0000-0000-0000A4000000}"/>
    <cellStyle name="Comma [0] 4" xfId="2869" xr:uid="{00000000-0005-0000-0000-0000A5000000}"/>
    <cellStyle name="Comma [0] 4 2" xfId="2966" xr:uid="{00000000-0005-0000-0000-0000A6000000}"/>
    <cellStyle name="Comma [0] 4 2 2" xfId="3165" xr:uid="{00000000-0005-0000-0000-0000A7000000}"/>
    <cellStyle name="Comma [0] 4 2 2 2" xfId="3659" xr:uid="{00000000-0005-0000-0000-0000A8000000}"/>
    <cellStyle name="Comma [0] 4 2 3" xfId="3461" xr:uid="{00000000-0005-0000-0000-0000A9000000}"/>
    <cellStyle name="Comma [0] 4 3" xfId="3069" xr:uid="{00000000-0005-0000-0000-0000AA000000}"/>
    <cellStyle name="Comma [0] 4 3 2" xfId="3563" xr:uid="{00000000-0005-0000-0000-0000AB000000}"/>
    <cellStyle name="Comma [0] 4 4" xfId="3365" xr:uid="{00000000-0005-0000-0000-0000AC000000}"/>
    <cellStyle name="Comma [0] 5" xfId="2918" xr:uid="{00000000-0005-0000-0000-0000AD000000}"/>
    <cellStyle name="Comma [0] 5 2" xfId="3117" xr:uid="{00000000-0005-0000-0000-0000AE000000}"/>
    <cellStyle name="Comma [0] 5 2 2" xfId="3611" xr:uid="{00000000-0005-0000-0000-0000AF000000}"/>
    <cellStyle name="Comma [0] 5 3" xfId="3413" xr:uid="{00000000-0005-0000-0000-0000B0000000}"/>
    <cellStyle name="Comma [0] 6" xfId="3016" xr:uid="{00000000-0005-0000-0000-0000B1000000}"/>
    <cellStyle name="Comma [0] 6 2" xfId="3510" xr:uid="{00000000-0005-0000-0000-0000B2000000}"/>
    <cellStyle name="Comma [0] 7" xfId="3218" xr:uid="{00000000-0005-0000-0000-0000B3000000}"/>
    <cellStyle name="Comma 10" xfId="3288" xr:uid="{00000000-0005-0000-0000-0000B4000000}"/>
    <cellStyle name="Comma 2" xfId="76" xr:uid="{00000000-0005-0000-0000-0000B5000000}"/>
    <cellStyle name="Comma 2 2" xfId="77" xr:uid="{00000000-0005-0000-0000-0000B6000000}"/>
    <cellStyle name="Comma 2 2 2" xfId="78" xr:uid="{00000000-0005-0000-0000-0000B7000000}"/>
    <cellStyle name="Comma 2 2 2 2" xfId="2877" xr:uid="{00000000-0005-0000-0000-0000B8000000}"/>
    <cellStyle name="Comma 2 2 2 2 2" xfId="2974" xr:uid="{00000000-0005-0000-0000-0000B9000000}"/>
    <cellStyle name="Comma 2 2 2 2 2 2" xfId="3173" xr:uid="{00000000-0005-0000-0000-0000BA000000}"/>
    <cellStyle name="Comma 2 2 2 2 2 2 2" xfId="3667" xr:uid="{00000000-0005-0000-0000-0000BB000000}"/>
    <cellStyle name="Comma 2 2 2 2 2 3" xfId="3469" xr:uid="{00000000-0005-0000-0000-0000BC000000}"/>
    <cellStyle name="Comma 2 2 2 2 3" xfId="3077" xr:uid="{00000000-0005-0000-0000-0000BD000000}"/>
    <cellStyle name="Comma 2 2 2 2 3 2" xfId="3571" xr:uid="{00000000-0005-0000-0000-0000BE000000}"/>
    <cellStyle name="Comma 2 2 2 2 4" xfId="3373" xr:uid="{00000000-0005-0000-0000-0000BF000000}"/>
    <cellStyle name="Comma 2 2 2 3" xfId="2926" xr:uid="{00000000-0005-0000-0000-0000C0000000}"/>
    <cellStyle name="Comma 2 2 2 3 2" xfId="3125" xr:uid="{00000000-0005-0000-0000-0000C1000000}"/>
    <cellStyle name="Comma 2 2 2 3 2 2" xfId="3619" xr:uid="{00000000-0005-0000-0000-0000C2000000}"/>
    <cellStyle name="Comma 2 2 2 3 3" xfId="3421" xr:uid="{00000000-0005-0000-0000-0000C3000000}"/>
    <cellStyle name="Comma 2 2 2 4" xfId="3024" xr:uid="{00000000-0005-0000-0000-0000C4000000}"/>
    <cellStyle name="Comma 2 2 2 4 2" xfId="3518" xr:uid="{00000000-0005-0000-0000-0000C5000000}"/>
    <cellStyle name="Comma 2 2 2 5" xfId="3226" xr:uid="{00000000-0005-0000-0000-0000C6000000}"/>
    <cellStyle name="Comma 2 2 3" xfId="2876" xr:uid="{00000000-0005-0000-0000-0000C7000000}"/>
    <cellStyle name="Comma 2 2 3 2" xfId="2973" xr:uid="{00000000-0005-0000-0000-0000C8000000}"/>
    <cellStyle name="Comma 2 2 3 2 2" xfId="3172" xr:uid="{00000000-0005-0000-0000-0000C9000000}"/>
    <cellStyle name="Comma 2 2 3 2 2 2" xfId="3666" xr:uid="{00000000-0005-0000-0000-0000CA000000}"/>
    <cellStyle name="Comma 2 2 3 2 3" xfId="3468" xr:uid="{00000000-0005-0000-0000-0000CB000000}"/>
    <cellStyle name="Comma 2 2 3 3" xfId="3076" xr:uid="{00000000-0005-0000-0000-0000CC000000}"/>
    <cellStyle name="Comma 2 2 3 3 2" xfId="3570" xr:uid="{00000000-0005-0000-0000-0000CD000000}"/>
    <cellStyle name="Comma 2 2 3 4" xfId="3372" xr:uid="{00000000-0005-0000-0000-0000CE000000}"/>
    <cellStyle name="Comma 2 2 4" xfId="2925" xr:uid="{00000000-0005-0000-0000-0000CF000000}"/>
    <cellStyle name="Comma 2 2 4 2" xfId="3124" xr:uid="{00000000-0005-0000-0000-0000D0000000}"/>
    <cellStyle name="Comma 2 2 4 2 2" xfId="3618" xr:uid="{00000000-0005-0000-0000-0000D1000000}"/>
    <cellStyle name="Comma 2 2 4 3" xfId="3420" xr:uid="{00000000-0005-0000-0000-0000D2000000}"/>
    <cellStyle name="Comma 2 2 5" xfId="3023" xr:uid="{00000000-0005-0000-0000-0000D3000000}"/>
    <cellStyle name="Comma 2 2 5 2" xfId="3517" xr:uid="{00000000-0005-0000-0000-0000D4000000}"/>
    <cellStyle name="Comma 2 2 6" xfId="3225" xr:uid="{00000000-0005-0000-0000-0000D5000000}"/>
    <cellStyle name="Comma 2 3" xfId="79" xr:uid="{00000000-0005-0000-0000-0000D6000000}"/>
    <cellStyle name="Comma 2 3 2" xfId="2878" xr:uid="{00000000-0005-0000-0000-0000D7000000}"/>
    <cellStyle name="Comma 2 3 2 2" xfId="2975" xr:uid="{00000000-0005-0000-0000-0000D8000000}"/>
    <cellStyle name="Comma 2 3 2 2 2" xfId="3174" xr:uid="{00000000-0005-0000-0000-0000D9000000}"/>
    <cellStyle name="Comma 2 3 2 2 2 2" xfId="3668" xr:uid="{00000000-0005-0000-0000-0000DA000000}"/>
    <cellStyle name="Comma 2 3 2 2 3" xfId="3470" xr:uid="{00000000-0005-0000-0000-0000DB000000}"/>
    <cellStyle name="Comma 2 3 2 3" xfId="3078" xr:uid="{00000000-0005-0000-0000-0000DC000000}"/>
    <cellStyle name="Comma 2 3 2 3 2" xfId="3572" xr:uid="{00000000-0005-0000-0000-0000DD000000}"/>
    <cellStyle name="Comma 2 3 2 4" xfId="3374" xr:uid="{00000000-0005-0000-0000-0000DE000000}"/>
    <cellStyle name="Comma 2 3 3" xfId="2927" xr:uid="{00000000-0005-0000-0000-0000DF000000}"/>
    <cellStyle name="Comma 2 3 3 2" xfId="3126" xr:uid="{00000000-0005-0000-0000-0000E0000000}"/>
    <cellStyle name="Comma 2 3 3 2 2" xfId="3620" xr:uid="{00000000-0005-0000-0000-0000E1000000}"/>
    <cellStyle name="Comma 2 3 3 3" xfId="3422" xr:uid="{00000000-0005-0000-0000-0000E2000000}"/>
    <cellStyle name="Comma 2 3 4" xfId="3025" xr:uid="{00000000-0005-0000-0000-0000E3000000}"/>
    <cellStyle name="Comma 2 3 4 2" xfId="3519" xr:uid="{00000000-0005-0000-0000-0000E4000000}"/>
    <cellStyle name="Comma 2 3 5" xfId="3227" xr:uid="{00000000-0005-0000-0000-0000E5000000}"/>
    <cellStyle name="Comma 2 4" xfId="2875" xr:uid="{00000000-0005-0000-0000-0000E6000000}"/>
    <cellStyle name="Comma 2 4 2" xfId="2972" xr:uid="{00000000-0005-0000-0000-0000E7000000}"/>
    <cellStyle name="Comma 2 4 2 2" xfId="3171" xr:uid="{00000000-0005-0000-0000-0000E8000000}"/>
    <cellStyle name="Comma 2 4 2 2 2" xfId="3665" xr:uid="{00000000-0005-0000-0000-0000E9000000}"/>
    <cellStyle name="Comma 2 4 2 3" xfId="3467" xr:uid="{00000000-0005-0000-0000-0000EA000000}"/>
    <cellStyle name="Comma 2 4 3" xfId="3075" xr:uid="{00000000-0005-0000-0000-0000EB000000}"/>
    <cellStyle name="Comma 2 4 3 2" xfId="3569" xr:uid="{00000000-0005-0000-0000-0000EC000000}"/>
    <cellStyle name="Comma 2 4 4" xfId="3371" xr:uid="{00000000-0005-0000-0000-0000ED000000}"/>
    <cellStyle name="Comma 2 5" xfId="2924" xr:uid="{00000000-0005-0000-0000-0000EE000000}"/>
    <cellStyle name="Comma 2 5 2" xfId="3123" xr:uid="{00000000-0005-0000-0000-0000EF000000}"/>
    <cellStyle name="Comma 2 5 2 2" xfId="3617" xr:uid="{00000000-0005-0000-0000-0000F0000000}"/>
    <cellStyle name="Comma 2 5 3" xfId="3419" xr:uid="{00000000-0005-0000-0000-0000F1000000}"/>
    <cellStyle name="Comma 2 6" xfId="3022" xr:uid="{00000000-0005-0000-0000-0000F2000000}"/>
    <cellStyle name="Comma 2 6 2" xfId="3516" xr:uid="{00000000-0005-0000-0000-0000F3000000}"/>
    <cellStyle name="Comma 2 7" xfId="3224" xr:uid="{00000000-0005-0000-0000-0000F4000000}"/>
    <cellStyle name="Comma 3" xfId="80" xr:uid="{00000000-0005-0000-0000-0000F5000000}"/>
    <cellStyle name="Comma 3 2" xfId="2879" xr:uid="{00000000-0005-0000-0000-0000F6000000}"/>
    <cellStyle name="Comma 3 2 2" xfId="2976" xr:uid="{00000000-0005-0000-0000-0000F7000000}"/>
    <cellStyle name="Comma 3 2 2 2" xfId="3175" xr:uid="{00000000-0005-0000-0000-0000F8000000}"/>
    <cellStyle name="Comma 3 2 2 2 2" xfId="3669" xr:uid="{00000000-0005-0000-0000-0000F9000000}"/>
    <cellStyle name="Comma 3 2 2 3" xfId="3471" xr:uid="{00000000-0005-0000-0000-0000FA000000}"/>
    <cellStyle name="Comma 3 2 3" xfId="3079" xr:uid="{00000000-0005-0000-0000-0000FB000000}"/>
    <cellStyle name="Comma 3 2 3 2" xfId="3573" xr:uid="{00000000-0005-0000-0000-0000FC000000}"/>
    <cellStyle name="Comma 3 2 4" xfId="3375" xr:uid="{00000000-0005-0000-0000-0000FD000000}"/>
    <cellStyle name="Comma 3 3" xfId="2928" xr:uid="{00000000-0005-0000-0000-0000FE000000}"/>
    <cellStyle name="Comma 3 3 2" xfId="3127" xr:uid="{00000000-0005-0000-0000-0000FF000000}"/>
    <cellStyle name="Comma 3 3 2 2" xfId="3621" xr:uid="{00000000-0005-0000-0000-000000010000}"/>
    <cellStyle name="Comma 3 3 3" xfId="3423" xr:uid="{00000000-0005-0000-0000-000001010000}"/>
    <cellStyle name="Comma 3 4" xfId="3026" xr:uid="{00000000-0005-0000-0000-000002010000}"/>
    <cellStyle name="Comma 3 4 2" xfId="3520" xr:uid="{00000000-0005-0000-0000-000003010000}"/>
    <cellStyle name="Comma 3 5" xfId="3228" xr:uid="{00000000-0005-0000-0000-000004010000}"/>
    <cellStyle name="Comma 4" xfId="81" xr:uid="{00000000-0005-0000-0000-000005010000}"/>
    <cellStyle name="Comma 4 2" xfId="2880" xr:uid="{00000000-0005-0000-0000-000006010000}"/>
    <cellStyle name="Comma 4 2 2" xfId="2977" xr:uid="{00000000-0005-0000-0000-000007010000}"/>
    <cellStyle name="Comma 4 2 2 2" xfId="3176" xr:uid="{00000000-0005-0000-0000-000008010000}"/>
    <cellStyle name="Comma 4 2 2 2 2" xfId="3670" xr:uid="{00000000-0005-0000-0000-000009010000}"/>
    <cellStyle name="Comma 4 2 2 3" xfId="3472" xr:uid="{00000000-0005-0000-0000-00000A010000}"/>
    <cellStyle name="Comma 4 2 3" xfId="3080" xr:uid="{00000000-0005-0000-0000-00000B010000}"/>
    <cellStyle name="Comma 4 2 3 2" xfId="3574" xr:uid="{00000000-0005-0000-0000-00000C010000}"/>
    <cellStyle name="Comma 4 2 4" xfId="3376" xr:uid="{00000000-0005-0000-0000-00000D010000}"/>
    <cellStyle name="Comma 4 3" xfId="2929" xr:uid="{00000000-0005-0000-0000-00000E010000}"/>
    <cellStyle name="Comma 4 3 2" xfId="3128" xr:uid="{00000000-0005-0000-0000-00000F010000}"/>
    <cellStyle name="Comma 4 3 2 2" xfId="3622" xr:uid="{00000000-0005-0000-0000-000010010000}"/>
    <cellStyle name="Comma 4 3 3" xfId="3424" xr:uid="{00000000-0005-0000-0000-000011010000}"/>
    <cellStyle name="Comma 4 4" xfId="3027" xr:uid="{00000000-0005-0000-0000-000012010000}"/>
    <cellStyle name="Comma 4 4 2" xfId="3521" xr:uid="{00000000-0005-0000-0000-000013010000}"/>
    <cellStyle name="Comma 4 5" xfId="3229" xr:uid="{00000000-0005-0000-0000-000014010000}"/>
    <cellStyle name="Comma 5" xfId="82" xr:uid="{00000000-0005-0000-0000-000015010000}"/>
    <cellStyle name="Comma 5 2" xfId="2881" xr:uid="{00000000-0005-0000-0000-000016010000}"/>
    <cellStyle name="Comma 5 2 2" xfId="2978" xr:uid="{00000000-0005-0000-0000-000017010000}"/>
    <cellStyle name="Comma 5 2 2 2" xfId="3177" xr:uid="{00000000-0005-0000-0000-000018010000}"/>
    <cellStyle name="Comma 5 2 2 2 2" xfId="3671" xr:uid="{00000000-0005-0000-0000-000019010000}"/>
    <cellStyle name="Comma 5 2 2 3" xfId="3473" xr:uid="{00000000-0005-0000-0000-00001A010000}"/>
    <cellStyle name="Comma 5 2 3" xfId="3081" xr:uid="{00000000-0005-0000-0000-00001B010000}"/>
    <cellStyle name="Comma 5 2 3 2" xfId="3575" xr:uid="{00000000-0005-0000-0000-00001C010000}"/>
    <cellStyle name="Comma 5 2 4" xfId="3377" xr:uid="{00000000-0005-0000-0000-00001D010000}"/>
    <cellStyle name="Comma 5 3" xfId="2930" xr:uid="{00000000-0005-0000-0000-00001E010000}"/>
    <cellStyle name="Comma 5 3 2" xfId="3129" xr:uid="{00000000-0005-0000-0000-00001F010000}"/>
    <cellStyle name="Comma 5 3 2 2" xfId="3623" xr:uid="{00000000-0005-0000-0000-000020010000}"/>
    <cellStyle name="Comma 5 3 3" xfId="3425" xr:uid="{00000000-0005-0000-0000-000021010000}"/>
    <cellStyle name="Comma 5 4" xfId="3028" xr:uid="{00000000-0005-0000-0000-000022010000}"/>
    <cellStyle name="Comma 5 4 2" xfId="3522" xr:uid="{00000000-0005-0000-0000-000023010000}"/>
    <cellStyle name="Comma 5 5" xfId="3230" xr:uid="{00000000-0005-0000-0000-000024010000}"/>
    <cellStyle name="Comma 6" xfId="2868" xr:uid="{00000000-0005-0000-0000-000025010000}"/>
    <cellStyle name="Comma 6 2" xfId="2965" xr:uid="{00000000-0005-0000-0000-000026010000}"/>
    <cellStyle name="Comma 6 2 2" xfId="3164" xr:uid="{00000000-0005-0000-0000-000027010000}"/>
    <cellStyle name="Comma 6 2 2 2" xfId="3658" xr:uid="{00000000-0005-0000-0000-000028010000}"/>
    <cellStyle name="Comma 6 2 3" xfId="3460" xr:uid="{00000000-0005-0000-0000-000029010000}"/>
    <cellStyle name="Comma 6 3" xfId="3068" xr:uid="{00000000-0005-0000-0000-00002A010000}"/>
    <cellStyle name="Comma 6 3 2" xfId="3562" xr:uid="{00000000-0005-0000-0000-00002B010000}"/>
    <cellStyle name="Comma 6 4" xfId="3364" xr:uid="{00000000-0005-0000-0000-00002C010000}"/>
    <cellStyle name="Comma 7" xfId="2917" xr:uid="{00000000-0005-0000-0000-00002D010000}"/>
    <cellStyle name="Comma 7 2" xfId="3116" xr:uid="{00000000-0005-0000-0000-00002E010000}"/>
    <cellStyle name="Comma 7 2 2" xfId="3610" xr:uid="{00000000-0005-0000-0000-00002F010000}"/>
    <cellStyle name="Comma 7 3" xfId="3412" xr:uid="{00000000-0005-0000-0000-000030010000}"/>
    <cellStyle name="Comma 8" xfId="3015" xr:uid="{00000000-0005-0000-0000-000031010000}"/>
    <cellStyle name="Comma 8 2" xfId="3509" xr:uid="{00000000-0005-0000-0000-000032010000}"/>
    <cellStyle name="Comma 9" xfId="3217" xr:uid="{00000000-0005-0000-0000-000033010000}"/>
    <cellStyle name="Currency" xfId="83" xr:uid="{00000000-0005-0000-0000-000034010000}"/>
    <cellStyle name="Currency [0]" xfId="84" xr:uid="{00000000-0005-0000-0000-000035010000}"/>
    <cellStyle name="Currency [0] 2" xfId="85" xr:uid="{00000000-0005-0000-0000-000036010000}"/>
    <cellStyle name="Currency [0] 2 2" xfId="86" xr:uid="{00000000-0005-0000-0000-000037010000}"/>
    <cellStyle name="Currency [0] 2 2 2" xfId="87" xr:uid="{00000000-0005-0000-0000-000038010000}"/>
    <cellStyle name="Currency [0] 2 2 2 2" xfId="88" xr:uid="{00000000-0005-0000-0000-000039010000}"/>
    <cellStyle name="Currency [0] 2 2 3" xfId="89" xr:uid="{00000000-0005-0000-0000-00003A010000}"/>
    <cellStyle name="Currency [0] 2 2 3 2" xfId="90" xr:uid="{00000000-0005-0000-0000-00003B010000}"/>
    <cellStyle name="Currency [0] 2 2 4" xfId="91" xr:uid="{00000000-0005-0000-0000-00003C010000}"/>
    <cellStyle name="Currency [0] 2 2 4 2" xfId="92" xr:uid="{00000000-0005-0000-0000-00003D010000}"/>
    <cellStyle name="Currency [0] 2 2 5" xfId="93" xr:uid="{00000000-0005-0000-0000-00003E010000}"/>
    <cellStyle name="Currency [0] 2 3" xfId="94" xr:uid="{00000000-0005-0000-0000-00003F010000}"/>
    <cellStyle name="Currency [0] 2 3 2" xfId="95" xr:uid="{00000000-0005-0000-0000-000040010000}"/>
    <cellStyle name="Currency [0] 2 4" xfId="96" xr:uid="{00000000-0005-0000-0000-000041010000}"/>
    <cellStyle name="Currency [0] 2 4 2" xfId="97" xr:uid="{00000000-0005-0000-0000-000042010000}"/>
    <cellStyle name="Currency [0] 2 5" xfId="98" xr:uid="{00000000-0005-0000-0000-000043010000}"/>
    <cellStyle name="Currency [0] 2 5 2" xfId="99" xr:uid="{00000000-0005-0000-0000-000044010000}"/>
    <cellStyle name="Currency [0] 2 6" xfId="100" xr:uid="{00000000-0005-0000-0000-000045010000}"/>
    <cellStyle name="Currency [0] 3" xfId="101" xr:uid="{00000000-0005-0000-0000-000046010000}"/>
    <cellStyle name="Currency [0] 3 2" xfId="102" xr:uid="{00000000-0005-0000-0000-000047010000}"/>
    <cellStyle name="Currency [0] 3 2 2" xfId="103" xr:uid="{00000000-0005-0000-0000-000048010000}"/>
    <cellStyle name="Currency [0] 3 3" xfId="104" xr:uid="{00000000-0005-0000-0000-000049010000}"/>
    <cellStyle name="Currency [0] 3 3 2" xfId="105" xr:uid="{00000000-0005-0000-0000-00004A010000}"/>
    <cellStyle name="Currency [0] 3 4" xfId="106" xr:uid="{00000000-0005-0000-0000-00004B010000}"/>
    <cellStyle name="Currency [0] 3 4 2" xfId="107" xr:uid="{00000000-0005-0000-0000-00004C010000}"/>
    <cellStyle name="Currency [0] 3 5" xfId="108" xr:uid="{00000000-0005-0000-0000-00004D010000}"/>
    <cellStyle name="Currency [0] 4" xfId="109" xr:uid="{00000000-0005-0000-0000-00004E010000}"/>
    <cellStyle name="Currency [0] 4 2" xfId="110" xr:uid="{00000000-0005-0000-0000-00004F010000}"/>
    <cellStyle name="Currency [0] 5" xfId="111" xr:uid="{00000000-0005-0000-0000-000050010000}"/>
    <cellStyle name="Currency [0] 5 2" xfId="112" xr:uid="{00000000-0005-0000-0000-000051010000}"/>
    <cellStyle name="Currency [0] 6" xfId="113" xr:uid="{00000000-0005-0000-0000-000052010000}"/>
    <cellStyle name="Currency [0] 6 2" xfId="114" xr:uid="{00000000-0005-0000-0000-000053010000}"/>
    <cellStyle name="Currency [0] 7" xfId="115" xr:uid="{00000000-0005-0000-0000-000054010000}"/>
    <cellStyle name="Currency 10" xfId="116" xr:uid="{00000000-0005-0000-0000-000055010000}"/>
    <cellStyle name="Currency 10 2" xfId="117" xr:uid="{00000000-0005-0000-0000-000056010000}"/>
    <cellStyle name="Currency 11" xfId="118" xr:uid="{00000000-0005-0000-0000-000057010000}"/>
    <cellStyle name="Currency 11 2" xfId="119" xr:uid="{00000000-0005-0000-0000-000058010000}"/>
    <cellStyle name="Currency 12" xfId="120" xr:uid="{00000000-0005-0000-0000-000059010000}"/>
    <cellStyle name="Currency 12 2" xfId="121" xr:uid="{00000000-0005-0000-0000-00005A010000}"/>
    <cellStyle name="Currency 13" xfId="122" xr:uid="{00000000-0005-0000-0000-00005B010000}"/>
    <cellStyle name="Currency 13 2" xfId="123" xr:uid="{00000000-0005-0000-0000-00005C010000}"/>
    <cellStyle name="Currency 14" xfId="124" xr:uid="{00000000-0005-0000-0000-00005D010000}"/>
    <cellStyle name="Currency 15" xfId="125" xr:uid="{00000000-0005-0000-0000-00005E010000}"/>
    <cellStyle name="Currency 2" xfId="126" xr:uid="{00000000-0005-0000-0000-00005F010000}"/>
    <cellStyle name="Currency 2 2" xfId="127" xr:uid="{00000000-0005-0000-0000-000060010000}"/>
    <cellStyle name="Currency 2 2 2" xfId="128" xr:uid="{00000000-0005-0000-0000-000061010000}"/>
    <cellStyle name="Currency 2 2 2 2" xfId="129" xr:uid="{00000000-0005-0000-0000-000062010000}"/>
    <cellStyle name="Currency 2 2 3" xfId="130" xr:uid="{00000000-0005-0000-0000-000063010000}"/>
    <cellStyle name="Currency 2 2 3 2" xfId="131" xr:uid="{00000000-0005-0000-0000-000064010000}"/>
    <cellStyle name="Currency 2 2 4" xfId="132" xr:uid="{00000000-0005-0000-0000-000065010000}"/>
    <cellStyle name="Currency 2 2 4 2" xfId="133" xr:uid="{00000000-0005-0000-0000-000066010000}"/>
    <cellStyle name="Currency 2 2 5" xfId="134" xr:uid="{00000000-0005-0000-0000-000067010000}"/>
    <cellStyle name="Currency 2 3" xfId="135" xr:uid="{00000000-0005-0000-0000-000068010000}"/>
    <cellStyle name="Currency 2 3 2" xfId="136" xr:uid="{00000000-0005-0000-0000-000069010000}"/>
    <cellStyle name="Currency 2 4" xfId="137" xr:uid="{00000000-0005-0000-0000-00006A010000}"/>
    <cellStyle name="Currency 2 4 2" xfId="138" xr:uid="{00000000-0005-0000-0000-00006B010000}"/>
    <cellStyle name="Currency 2 5" xfId="139" xr:uid="{00000000-0005-0000-0000-00006C010000}"/>
    <cellStyle name="Currency 2 5 2" xfId="140" xr:uid="{00000000-0005-0000-0000-00006D010000}"/>
    <cellStyle name="Currency 2 6" xfId="141" xr:uid="{00000000-0005-0000-0000-00006E010000}"/>
    <cellStyle name="Currency 3" xfId="142" xr:uid="{00000000-0005-0000-0000-00006F010000}"/>
    <cellStyle name="Currency 3 2" xfId="143" xr:uid="{00000000-0005-0000-0000-000070010000}"/>
    <cellStyle name="Currency 3 2 2" xfId="144" xr:uid="{00000000-0005-0000-0000-000071010000}"/>
    <cellStyle name="Currency 3 3" xfId="145" xr:uid="{00000000-0005-0000-0000-000072010000}"/>
    <cellStyle name="Currency 3 3 2" xfId="146" xr:uid="{00000000-0005-0000-0000-000073010000}"/>
    <cellStyle name="Currency 3 4" xfId="147" xr:uid="{00000000-0005-0000-0000-000074010000}"/>
    <cellStyle name="Currency 3 4 2" xfId="148" xr:uid="{00000000-0005-0000-0000-000075010000}"/>
    <cellStyle name="Currency 3 5" xfId="149" xr:uid="{00000000-0005-0000-0000-000076010000}"/>
    <cellStyle name="Currency 4" xfId="150" xr:uid="{00000000-0005-0000-0000-000077010000}"/>
    <cellStyle name="Currency 4 2" xfId="151" xr:uid="{00000000-0005-0000-0000-000078010000}"/>
    <cellStyle name="Currency 4 2 2" xfId="152" xr:uid="{00000000-0005-0000-0000-000079010000}"/>
    <cellStyle name="Currency 4 3" xfId="153" xr:uid="{00000000-0005-0000-0000-00007A010000}"/>
    <cellStyle name="Currency 4 3 2" xfId="154" xr:uid="{00000000-0005-0000-0000-00007B010000}"/>
    <cellStyle name="Currency 4 4" xfId="155" xr:uid="{00000000-0005-0000-0000-00007C010000}"/>
    <cellStyle name="Currency 4 4 2" xfId="156" xr:uid="{00000000-0005-0000-0000-00007D010000}"/>
    <cellStyle name="Currency 4 5" xfId="157" xr:uid="{00000000-0005-0000-0000-00007E010000}"/>
    <cellStyle name="Currency 5" xfId="158" xr:uid="{00000000-0005-0000-0000-00007F010000}"/>
    <cellStyle name="Currency 5 2" xfId="159" xr:uid="{00000000-0005-0000-0000-000080010000}"/>
    <cellStyle name="Currency 5 2 2" xfId="160" xr:uid="{00000000-0005-0000-0000-000081010000}"/>
    <cellStyle name="Currency 5 3" xfId="161" xr:uid="{00000000-0005-0000-0000-000082010000}"/>
    <cellStyle name="Currency 5 3 2" xfId="162" xr:uid="{00000000-0005-0000-0000-000083010000}"/>
    <cellStyle name="Currency 5 4" xfId="163" xr:uid="{00000000-0005-0000-0000-000084010000}"/>
    <cellStyle name="Currency 5 4 2" xfId="164" xr:uid="{00000000-0005-0000-0000-000085010000}"/>
    <cellStyle name="Currency 5 5" xfId="165" xr:uid="{00000000-0005-0000-0000-000086010000}"/>
    <cellStyle name="Currency 6" xfId="166" xr:uid="{00000000-0005-0000-0000-000087010000}"/>
    <cellStyle name="Currency 6 2" xfId="167" xr:uid="{00000000-0005-0000-0000-000088010000}"/>
    <cellStyle name="Currency 7" xfId="168" xr:uid="{00000000-0005-0000-0000-000089010000}"/>
    <cellStyle name="Currency 7 2" xfId="169" xr:uid="{00000000-0005-0000-0000-00008A010000}"/>
    <cellStyle name="Currency 8" xfId="170" xr:uid="{00000000-0005-0000-0000-00008B010000}"/>
    <cellStyle name="Currency 8 2" xfId="171" xr:uid="{00000000-0005-0000-0000-00008C010000}"/>
    <cellStyle name="Currency 9" xfId="172" xr:uid="{00000000-0005-0000-0000-00008D010000}"/>
    <cellStyle name="Currency 9 2" xfId="173" xr:uid="{00000000-0005-0000-0000-00008E010000}"/>
    <cellStyle name="DateStyle" xfId="174" xr:uid="{00000000-0005-0000-0000-00008F010000}"/>
    <cellStyle name="DateTimeStyle" xfId="175" xr:uid="{00000000-0005-0000-0000-000090010000}"/>
    <cellStyle name="Decimal" xfId="176" xr:uid="{00000000-0005-0000-0000-000091010000}"/>
    <cellStyle name="DecimalWithBorder" xfId="177" xr:uid="{00000000-0005-0000-0000-000092010000}"/>
    <cellStyle name="DecimalWithBorder 2" xfId="178" xr:uid="{00000000-0005-0000-0000-000093010000}"/>
    <cellStyle name="DecimalWithBorder 2 2" xfId="179" xr:uid="{00000000-0005-0000-0000-000094010000}"/>
    <cellStyle name="DecimalWithBorder 2 2 2" xfId="3285" xr:uid="{00000000-0005-0000-0000-000095010000}"/>
    <cellStyle name="DecimalWithBorder 2 2_TERRITORIALIZACIÓN" xfId="3356" xr:uid="{00000000-0005-0000-0000-000096010000}"/>
    <cellStyle name="DecimalWithBorder 2 3" xfId="180" xr:uid="{00000000-0005-0000-0000-000097010000}"/>
    <cellStyle name="DecimalWithBorder 2 3 2" xfId="3284" xr:uid="{00000000-0005-0000-0000-000098010000}"/>
    <cellStyle name="DecimalWithBorder 2 3_TERRITORIALIZACIÓN" xfId="3355" xr:uid="{00000000-0005-0000-0000-000099010000}"/>
    <cellStyle name="DecimalWithBorder 2 4" xfId="181" xr:uid="{00000000-0005-0000-0000-00009A010000}"/>
    <cellStyle name="DecimalWithBorder 2 4 2" xfId="3283" xr:uid="{00000000-0005-0000-0000-00009B010000}"/>
    <cellStyle name="DecimalWithBorder 2 4_TERRITORIALIZACIÓN" xfId="3354" xr:uid="{00000000-0005-0000-0000-00009C010000}"/>
    <cellStyle name="DecimalWithBorder 2 5" xfId="3286" xr:uid="{00000000-0005-0000-0000-00009D010000}"/>
    <cellStyle name="DecimalWithBorder 2_TERRITORIALIZACIÓN" xfId="3212" xr:uid="{00000000-0005-0000-0000-00009E010000}"/>
    <cellStyle name="DecimalWithBorder 3" xfId="182" xr:uid="{00000000-0005-0000-0000-00009F010000}"/>
    <cellStyle name="DecimalWithBorder 3 2" xfId="3282" xr:uid="{00000000-0005-0000-0000-0000A0010000}"/>
    <cellStyle name="DecimalWithBorder 3_TERRITORIALIZACIÓN" xfId="3353" xr:uid="{00000000-0005-0000-0000-0000A1010000}"/>
    <cellStyle name="DecimalWithBorder 4" xfId="183" xr:uid="{00000000-0005-0000-0000-0000A2010000}"/>
    <cellStyle name="DecimalWithBorder 4 2" xfId="3281" xr:uid="{00000000-0005-0000-0000-0000A3010000}"/>
    <cellStyle name="DecimalWithBorder 4_TERRITORIALIZACIÓN" xfId="3352" xr:uid="{00000000-0005-0000-0000-0000A4010000}"/>
    <cellStyle name="DecimalWithBorder 5" xfId="184" xr:uid="{00000000-0005-0000-0000-0000A5010000}"/>
    <cellStyle name="DecimalWithBorder 5 2" xfId="3280" xr:uid="{00000000-0005-0000-0000-0000A6010000}"/>
    <cellStyle name="DecimalWithBorder 5_TERRITORIALIZACIÓN" xfId="3351" xr:uid="{00000000-0005-0000-0000-0000A7010000}"/>
    <cellStyle name="DecimalWithBorder 6" xfId="3287" xr:uid="{00000000-0005-0000-0000-0000A8010000}"/>
    <cellStyle name="DecimalWithBorder_TERRITORIALIZACIÓN" xfId="3214" xr:uid="{00000000-0005-0000-0000-0000A9010000}"/>
    <cellStyle name="Énfasis1 2" xfId="185" xr:uid="{00000000-0005-0000-0000-0000AA010000}"/>
    <cellStyle name="Énfasis1 2 2" xfId="186" xr:uid="{00000000-0005-0000-0000-0000AB010000}"/>
    <cellStyle name="Énfasis1 2_TERRITORIALIZACIÓN" xfId="3350" xr:uid="{00000000-0005-0000-0000-0000AC010000}"/>
    <cellStyle name="EuroCurrency" xfId="187" xr:uid="{00000000-0005-0000-0000-0000AD010000}"/>
    <cellStyle name="EuroCurrencyWithBorder" xfId="188" xr:uid="{00000000-0005-0000-0000-0000AE010000}"/>
    <cellStyle name="EuroCurrencyWithBorder 2" xfId="189" xr:uid="{00000000-0005-0000-0000-0000AF010000}"/>
    <cellStyle name="EuroCurrencyWithBorder 2 2" xfId="190" xr:uid="{00000000-0005-0000-0000-0000B0010000}"/>
    <cellStyle name="EuroCurrencyWithBorder 2 2 2" xfId="3277" xr:uid="{00000000-0005-0000-0000-0000B1010000}"/>
    <cellStyle name="EuroCurrencyWithBorder 2 2_TERRITORIALIZACIÓN" xfId="3347" xr:uid="{00000000-0005-0000-0000-0000B2010000}"/>
    <cellStyle name="EuroCurrencyWithBorder 2 3" xfId="191" xr:uid="{00000000-0005-0000-0000-0000B3010000}"/>
    <cellStyle name="EuroCurrencyWithBorder 2 3 2" xfId="3276" xr:uid="{00000000-0005-0000-0000-0000B4010000}"/>
    <cellStyle name="EuroCurrencyWithBorder 2 3_TERRITORIALIZACIÓN" xfId="3346" xr:uid="{00000000-0005-0000-0000-0000B5010000}"/>
    <cellStyle name="EuroCurrencyWithBorder 2 4" xfId="192" xr:uid="{00000000-0005-0000-0000-0000B6010000}"/>
    <cellStyle name="EuroCurrencyWithBorder 2 4 2" xfId="3275" xr:uid="{00000000-0005-0000-0000-0000B7010000}"/>
    <cellStyle name="EuroCurrencyWithBorder 2 4_TERRITORIALIZACIÓN" xfId="3345" xr:uid="{00000000-0005-0000-0000-0000B8010000}"/>
    <cellStyle name="EuroCurrencyWithBorder 2 5" xfId="3278" xr:uid="{00000000-0005-0000-0000-0000B9010000}"/>
    <cellStyle name="EuroCurrencyWithBorder 2_TERRITORIALIZACIÓN" xfId="3348" xr:uid="{00000000-0005-0000-0000-0000BA010000}"/>
    <cellStyle name="EuroCurrencyWithBorder 3" xfId="193" xr:uid="{00000000-0005-0000-0000-0000BB010000}"/>
    <cellStyle name="EuroCurrencyWithBorder 3 2" xfId="3274" xr:uid="{00000000-0005-0000-0000-0000BC010000}"/>
    <cellStyle name="EuroCurrencyWithBorder 3_TERRITORIALIZACIÓN" xfId="3344" xr:uid="{00000000-0005-0000-0000-0000BD010000}"/>
    <cellStyle name="EuroCurrencyWithBorder 4" xfId="194" xr:uid="{00000000-0005-0000-0000-0000BE010000}"/>
    <cellStyle name="EuroCurrencyWithBorder 4 2" xfId="3273" xr:uid="{00000000-0005-0000-0000-0000BF010000}"/>
    <cellStyle name="EuroCurrencyWithBorder 4_TERRITORIALIZACIÓN" xfId="3343" xr:uid="{00000000-0005-0000-0000-0000C0010000}"/>
    <cellStyle name="EuroCurrencyWithBorder 5" xfId="195" xr:uid="{00000000-0005-0000-0000-0000C1010000}"/>
    <cellStyle name="EuroCurrencyWithBorder 5 2" xfId="3272" xr:uid="{00000000-0005-0000-0000-0000C2010000}"/>
    <cellStyle name="EuroCurrencyWithBorder 5_TERRITORIALIZACIÓN" xfId="3342" xr:uid="{00000000-0005-0000-0000-0000C3010000}"/>
    <cellStyle name="EuroCurrencyWithBorder 6" xfId="3279" xr:uid="{00000000-0005-0000-0000-0000C4010000}"/>
    <cellStyle name="EuroCurrencyWithBorder_TERRITORIALIZACIÓN" xfId="3349" xr:uid="{00000000-0005-0000-0000-0000C5010000}"/>
    <cellStyle name="HeaderStyle" xfId="196" xr:uid="{00000000-0005-0000-0000-0000C6010000}"/>
    <cellStyle name="HeaderSubTop" xfId="197" xr:uid="{00000000-0005-0000-0000-0000C7010000}"/>
    <cellStyle name="HeaderSubTopNoBold" xfId="198" xr:uid="{00000000-0005-0000-0000-0000C8010000}"/>
    <cellStyle name="HeaderTopBuyer" xfId="199" xr:uid="{00000000-0005-0000-0000-0000C9010000}"/>
    <cellStyle name="HeaderTopStyle" xfId="200" xr:uid="{00000000-0005-0000-0000-0000CA010000}"/>
    <cellStyle name="HeaderTopStyleAlignRight" xfId="201" xr:uid="{00000000-0005-0000-0000-0000CB010000}"/>
    <cellStyle name="MainTitle" xfId="202" xr:uid="{00000000-0005-0000-0000-0000CC010000}"/>
    <cellStyle name="MainTitle 2" xfId="203" xr:uid="{00000000-0005-0000-0000-0000CD010000}"/>
    <cellStyle name="MainTitle 2 2" xfId="204" xr:uid="{00000000-0005-0000-0000-0000CE010000}"/>
    <cellStyle name="MainTitle 2 2 2" xfId="3269" xr:uid="{00000000-0005-0000-0000-0000CF010000}"/>
    <cellStyle name="MainTitle 2 2_TERRITORIALIZACIÓN" xfId="3339" xr:uid="{00000000-0005-0000-0000-0000D0010000}"/>
    <cellStyle name="MainTitle 2 3" xfId="205" xr:uid="{00000000-0005-0000-0000-0000D1010000}"/>
    <cellStyle name="MainTitle 2 3 2" xfId="3268" xr:uid="{00000000-0005-0000-0000-0000D2010000}"/>
    <cellStyle name="MainTitle 2 3_TERRITORIALIZACIÓN" xfId="3338" xr:uid="{00000000-0005-0000-0000-0000D3010000}"/>
    <cellStyle name="MainTitle 2 4" xfId="206" xr:uid="{00000000-0005-0000-0000-0000D4010000}"/>
    <cellStyle name="MainTitle 2 4 2" xfId="3267" xr:uid="{00000000-0005-0000-0000-0000D5010000}"/>
    <cellStyle name="MainTitle 2 4_TERRITORIALIZACIÓN" xfId="3337" xr:uid="{00000000-0005-0000-0000-0000D6010000}"/>
    <cellStyle name="MainTitle 2 5" xfId="3270" xr:uid="{00000000-0005-0000-0000-0000D7010000}"/>
    <cellStyle name="MainTitle 2_TERRITORIALIZACIÓN" xfId="3340" xr:uid="{00000000-0005-0000-0000-0000D8010000}"/>
    <cellStyle name="MainTitle 3" xfId="207" xr:uid="{00000000-0005-0000-0000-0000D9010000}"/>
    <cellStyle name="MainTitle 3 2" xfId="3266" xr:uid="{00000000-0005-0000-0000-0000DA010000}"/>
    <cellStyle name="MainTitle 3_TERRITORIALIZACIÓN" xfId="3336" xr:uid="{00000000-0005-0000-0000-0000DB010000}"/>
    <cellStyle name="MainTitle 4" xfId="208" xr:uid="{00000000-0005-0000-0000-0000DC010000}"/>
    <cellStyle name="MainTitle 4 2" xfId="3265" xr:uid="{00000000-0005-0000-0000-0000DD010000}"/>
    <cellStyle name="MainTitle 4_TERRITORIALIZACIÓN" xfId="3335" xr:uid="{00000000-0005-0000-0000-0000DE010000}"/>
    <cellStyle name="MainTitle 5" xfId="209" xr:uid="{00000000-0005-0000-0000-0000DF010000}"/>
    <cellStyle name="MainTitle 5 2" xfId="3264" xr:uid="{00000000-0005-0000-0000-0000E0010000}"/>
    <cellStyle name="MainTitle 5_TERRITORIALIZACIÓN" xfId="3334" xr:uid="{00000000-0005-0000-0000-0000E1010000}"/>
    <cellStyle name="MainTitle 6" xfId="3271" xr:uid="{00000000-0005-0000-0000-0000E2010000}"/>
    <cellStyle name="MainTitle_TERRITORIALIZACIÓN" xfId="3341" xr:uid="{00000000-0005-0000-0000-0000E3010000}"/>
    <cellStyle name="Millares" xfId="3" builtinId="3"/>
    <cellStyle name="Millares 10" xfId="210" xr:uid="{00000000-0005-0000-0000-0000E5010000}"/>
    <cellStyle name="Millares 10 2" xfId="211" xr:uid="{00000000-0005-0000-0000-0000E6010000}"/>
    <cellStyle name="Millares 10 2 2" xfId="2883" xr:uid="{00000000-0005-0000-0000-0000E7010000}"/>
    <cellStyle name="Millares 10 2 2 2" xfId="2980" xr:uid="{00000000-0005-0000-0000-0000E8010000}"/>
    <cellStyle name="Millares 10 2 2 2 2" xfId="3179" xr:uid="{00000000-0005-0000-0000-0000E9010000}"/>
    <cellStyle name="Millares 10 2 2 2 2 2" xfId="3673" xr:uid="{00000000-0005-0000-0000-0000EA010000}"/>
    <cellStyle name="Millares 10 2 2 2 3" xfId="3475" xr:uid="{00000000-0005-0000-0000-0000EB010000}"/>
    <cellStyle name="Millares 10 2 2 3" xfId="3083" xr:uid="{00000000-0005-0000-0000-0000EC010000}"/>
    <cellStyle name="Millares 10 2 2 3 2" xfId="3577" xr:uid="{00000000-0005-0000-0000-0000ED010000}"/>
    <cellStyle name="Millares 10 2 2 4" xfId="3379" xr:uid="{00000000-0005-0000-0000-0000EE010000}"/>
    <cellStyle name="Millares 10 2 3" xfId="2932" xr:uid="{00000000-0005-0000-0000-0000EF010000}"/>
    <cellStyle name="Millares 10 2 3 2" xfId="3131" xr:uid="{00000000-0005-0000-0000-0000F0010000}"/>
    <cellStyle name="Millares 10 2 3 2 2" xfId="3625" xr:uid="{00000000-0005-0000-0000-0000F1010000}"/>
    <cellStyle name="Millares 10 2 3 3" xfId="3427" xr:uid="{00000000-0005-0000-0000-0000F2010000}"/>
    <cellStyle name="Millares 10 2 4" xfId="3030" xr:uid="{00000000-0005-0000-0000-0000F3010000}"/>
    <cellStyle name="Millares 10 2 4 2" xfId="3524" xr:uid="{00000000-0005-0000-0000-0000F4010000}"/>
    <cellStyle name="Millares 10 2 5" xfId="3232" xr:uid="{00000000-0005-0000-0000-0000F5010000}"/>
    <cellStyle name="Millares 10 3" xfId="2882" xr:uid="{00000000-0005-0000-0000-0000F6010000}"/>
    <cellStyle name="Millares 10 3 2" xfId="2979" xr:uid="{00000000-0005-0000-0000-0000F7010000}"/>
    <cellStyle name="Millares 10 3 2 2" xfId="3178" xr:uid="{00000000-0005-0000-0000-0000F8010000}"/>
    <cellStyle name="Millares 10 3 2 2 2" xfId="3672" xr:uid="{00000000-0005-0000-0000-0000F9010000}"/>
    <cellStyle name="Millares 10 3 2 3" xfId="3474" xr:uid="{00000000-0005-0000-0000-0000FA010000}"/>
    <cellStyle name="Millares 10 3 3" xfId="3082" xr:uid="{00000000-0005-0000-0000-0000FB010000}"/>
    <cellStyle name="Millares 10 3 3 2" xfId="3576" xr:uid="{00000000-0005-0000-0000-0000FC010000}"/>
    <cellStyle name="Millares 10 3 4" xfId="3378" xr:uid="{00000000-0005-0000-0000-0000FD010000}"/>
    <cellStyle name="Millares 10 4" xfId="2931" xr:uid="{00000000-0005-0000-0000-0000FE010000}"/>
    <cellStyle name="Millares 10 4 2" xfId="3130" xr:uid="{00000000-0005-0000-0000-0000FF010000}"/>
    <cellStyle name="Millares 10 4 2 2" xfId="3624" xr:uid="{00000000-0005-0000-0000-000000020000}"/>
    <cellStyle name="Millares 10 4 3" xfId="3426" xr:uid="{00000000-0005-0000-0000-000001020000}"/>
    <cellStyle name="Millares 10 5" xfId="3029" xr:uid="{00000000-0005-0000-0000-000002020000}"/>
    <cellStyle name="Millares 10 5 2" xfId="3523" xr:uid="{00000000-0005-0000-0000-000003020000}"/>
    <cellStyle name="Millares 10 6" xfId="3231" xr:uid="{00000000-0005-0000-0000-000004020000}"/>
    <cellStyle name="Millares 2" xfId="4" xr:uid="{00000000-0005-0000-0000-000005020000}"/>
    <cellStyle name="Millares 2 2" xfId="5" xr:uid="{00000000-0005-0000-0000-000006020000}"/>
    <cellStyle name="Millares 2 2 2" xfId="212" xr:uid="{00000000-0005-0000-0000-000007020000}"/>
    <cellStyle name="Millares 2 3" xfId="213" xr:uid="{00000000-0005-0000-0000-000008020000}"/>
    <cellStyle name="Millares 2 3 2" xfId="214" xr:uid="{00000000-0005-0000-0000-000009020000}"/>
    <cellStyle name="Millares 2 3 2 2" xfId="215" xr:uid="{00000000-0005-0000-0000-00000A020000}"/>
    <cellStyle name="Millares 2 3 2 2 2" xfId="2886" xr:uid="{00000000-0005-0000-0000-00000B020000}"/>
    <cellStyle name="Millares 2 3 2 2 2 2" xfId="2983" xr:uid="{00000000-0005-0000-0000-00000C020000}"/>
    <cellStyle name="Millares 2 3 2 2 2 2 2" xfId="3182" xr:uid="{00000000-0005-0000-0000-00000D020000}"/>
    <cellStyle name="Millares 2 3 2 2 2 2 2 2" xfId="3676" xr:uid="{00000000-0005-0000-0000-00000E020000}"/>
    <cellStyle name="Millares 2 3 2 2 2 2 3" xfId="3478" xr:uid="{00000000-0005-0000-0000-00000F020000}"/>
    <cellStyle name="Millares 2 3 2 2 2 3" xfId="3086" xr:uid="{00000000-0005-0000-0000-000010020000}"/>
    <cellStyle name="Millares 2 3 2 2 2 3 2" xfId="3580" xr:uid="{00000000-0005-0000-0000-000011020000}"/>
    <cellStyle name="Millares 2 3 2 2 2 4" xfId="3382" xr:uid="{00000000-0005-0000-0000-000012020000}"/>
    <cellStyle name="Millares 2 3 2 2 3" xfId="2935" xr:uid="{00000000-0005-0000-0000-000013020000}"/>
    <cellStyle name="Millares 2 3 2 2 3 2" xfId="3134" xr:uid="{00000000-0005-0000-0000-000014020000}"/>
    <cellStyle name="Millares 2 3 2 2 3 2 2" xfId="3628" xr:uid="{00000000-0005-0000-0000-000015020000}"/>
    <cellStyle name="Millares 2 3 2 2 3 3" xfId="3430" xr:uid="{00000000-0005-0000-0000-000016020000}"/>
    <cellStyle name="Millares 2 3 2 2 4" xfId="3033" xr:uid="{00000000-0005-0000-0000-000017020000}"/>
    <cellStyle name="Millares 2 3 2 2 4 2" xfId="3527" xr:uid="{00000000-0005-0000-0000-000018020000}"/>
    <cellStyle name="Millares 2 3 2 2 5" xfId="3235" xr:uid="{00000000-0005-0000-0000-000019020000}"/>
    <cellStyle name="Millares 2 3 2 3" xfId="2885" xr:uid="{00000000-0005-0000-0000-00001A020000}"/>
    <cellStyle name="Millares 2 3 2 3 2" xfId="2982" xr:uid="{00000000-0005-0000-0000-00001B020000}"/>
    <cellStyle name="Millares 2 3 2 3 2 2" xfId="3181" xr:uid="{00000000-0005-0000-0000-00001C020000}"/>
    <cellStyle name="Millares 2 3 2 3 2 2 2" xfId="3675" xr:uid="{00000000-0005-0000-0000-00001D020000}"/>
    <cellStyle name="Millares 2 3 2 3 2 3" xfId="3477" xr:uid="{00000000-0005-0000-0000-00001E020000}"/>
    <cellStyle name="Millares 2 3 2 3 3" xfId="3085" xr:uid="{00000000-0005-0000-0000-00001F020000}"/>
    <cellStyle name="Millares 2 3 2 3 3 2" xfId="3579" xr:uid="{00000000-0005-0000-0000-000020020000}"/>
    <cellStyle name="Millares 2 3 2 3 4" xfId="3381" xr:uid="{00000000-0005-0000-0000-000021020000}"/>
    <cellStyle name="Millares 2 3 2 4" xfId="2934" xr:uid="{00000000-0005-0000-0000-000022020000}"/>
    <cellStyle name="Millares 2 3 2 4 2" xfId="3133" xr:uid="{00000000-0005-0000-0000-000023020000}"/>
    <cellStyle name="Millares 2 3 2 4 2 2" xfId="3627" xr:uid="{00000000-0005-0000-0000-000024020000}"/>
    <cellStyle name="Millares 2 3 2 4 3" xfId="3429" xr:uid="{00000000-0005-0000-0000-000025020000}"/>
    <cellStyle name="Millares 2 3 2 5" xfId="3032" xr:uid="{00000000-0005-0000-0000-000026020000}"/>
    <cellStyle name="Millares 2 3 2 5 2" xfId="3526" xr:uid="{00000000-0005-0000-0000-000027020000}"/>
    <cellStyle name="Millares 2 3 2 6" xfId="3234" xr:uid="{00000000-0005-0000-0000-000028020000}"/>
    <cellStyle name="Millares 2 3 3" xfId="216" xr:uid="{00000000-0005-0000-0000-000029020000}"/>
    <cellStyle name="Millares 2 3 3 2" xfId="2887" xr:uid="{00000000-0005-0000-0000-00002A020000}"/>
    <cellStyle name="Millares 2 3 3 2 2" xfId="2984" xr:uid="{00000000-0005-0000-0000-00002B020000}"/>
    <cellStyle name="Millares 2 3 3 2 2 2" xfId="3183" xr:uid="{00000000-0005-0000-0000-00002C020000}"/>
    <cellStyle name="Millares 2 3 3 2 2 2 2" xfId="3677" xr:uid="{00000000-0005-0000-0000-00002D020000}"/>
    <cellStyle name="Millares 2 3 3 2 2 3" xfId="3479" xr:uid="{00000000-0005-0000-0000-00002E020000}"/>
    <cellStyle name="Millares 2 3 3 2 3" xfId="3087" xr:uid="{00000000-0005-0000-0000-00002F020000}"/>
    <cellStyle name="Millares 2 3 3 2 3 2" xfId="3581" xr:uid="{00000000-0005-0000-0000-000030020000}"/>
    <cellStyle name="Millares 2 3 3 2 4" xfId="3383" xr:uid="{00000000-0005-0000-0000-000031020000}"/>
    <cellStyle name="Millares 2 3 3 3" xfId="2936" xr:uid="{00000000-0005-0000-0000-000032020000}"/>
    <cellStyle name="Millares 2 3 3 3 2" xfId="3135" xr:uid="{00000000-0005-0000-0000-000033020000}"/>
    <cellStyle name="Millares 2 3 3 3 2 2" xfId="3629" xr:uid="{00000000-0005-0000-0000-000034020000}"/>
    <cellStyle name="Millares 2 3 3 3 3" xfId="3431" xr:uid="{00000000-0005-0000-0000-000035020000}"/>
    <cellStyle name="Millares 2 3 3 4" xfId="3034" xr:uid="{00000000-0005-0000-0000-000036020000}"/>
    <cellStyle name="Millares 2 3 3 4 2" xfId="3528" xr:uid="{00000000-0005-0000-0000-000037020000}"/>
    <cellStyle name="Millares 2 3 3 5" xfId="3236" xr:uid="{00000000-0005-0000-0000-000038020000}"/>
    <cellStyle name="Millares 2 3 4" xfId="217" xr:uid="{00000000-0005-0000-0000-000039020000}"/>
    <cellStyle name="Millares 2 3 4 2" xfId="2888" xr:uid="{00000000-0005-0000-0000-00003A020000}"/>
    <cellStyle name="Millares 2 3 4 2 2" xfId="2985" xr:uid="{00000000-0005-0000-0000-00003B020000}"/>
    <cellStyle name="Millares 2 3 4 2 2 2" xfId="3184" xr:uid="{00000000-0005-0000-0000-00003C020000}"/>
    <cellStyle name="Millares 2 3 4 2 2 2 2" xfId="3678" xr:uid="{00000000-0005-0000-0000-00003D020000}"/>
    <cellStyle name="Millares 2 3 4 2 2 3" xfId="3480" xr:uid="{00000000-0005-0000-0000-00003E020000}"/>
    <cellStyle name="Millares 2 3 4 2 3" xfId="3088" xr:uid="{00000000-0005-0000-0000-00003F020000}"/>
    <cellStyle name="Millares 2 3 4 2 3 2" xfId="3582" xr:uid="{00000000-0005-0000-0000-000040020000}"/>
    <cellStyle name="Millares 2 3 4 2 4" xfId="3384" xr:uid="{00000000-0005-0000-0000-000041020000}"/>
    <cellStyle name="Millares 2 3 4 3" xfId="2937" xr:uid="{00000000-0005-0000-0000-000042020000}"/>
    <cellStyle name="Millares 2 3 4 3 2" xfId="3136" xr:uid="{00000000-0005-0000-0000-000043020000}"/>
    <cellStyle name="Millares 2 3 4 3 2 2" xfId="3630" xr:uid="{00000000-0005-0000-0000-000044020000}"/>
    <cellStyle name="Millares 2 3 4 3 3" xfId="3432" xr:uid="{00000000-0005-0000-0000-000045020000}"/>
    <cellStyle name="Millares 2 3 4 4" xfId="3035" xr:uid="{00000000-0005-0000-0000-000046020000}"/>
    <cellStyle name="Millares 2 3 4 4 2" xfId="3529" xr:uid="{00000000-0005-0000-0000-000047020000}"/>
    <cellStyle name="Millares 2 3 4 5" xfId="3237" xr:uid="{00000000-0005-0000-0000-000048020000}"/>
    <cellStyle name="Millares 2 3 5" xfId="2884" xr:uid="{00000000-0005-0000-0000-000049020000}"/>
    <cellStyle name="Millares 2 3 5 2" xfId="2981" xr:uid="{00000000-0005-0000-0000-00004A020000}"/>
    <cellStyle name="Millares 2 3 5 2 2" xfId="3180" xr:uid="{00000000-0005-0000-0000-00004B020000}"/>
    <cellStyle name="Millares 2 3 5 2 2 2" xfId="3674" xr:uid="{00000000-0005-0000-0000-00004C020000}"/>
    <cellStyle name="Millares 2 3 5 2 3" xfId="3476" xr:uid="{00000000-0005-0000-0000-00004D020000}"/>
    <cellStyle name="Millares 2 3 5 3" xfId="3084" xr:uid="{00000000-0005-0000-0000-00004E020000}"/>
    <cellStyle name="Millares 2 3 5 3 2" xfId="3578" xr:uid="{00000000-0005-0000-0000-00004F020000}"/>
    <cellStyle name="Millares 2 3 5 4" xfId="3380" xr:uid="{00000000-0005-0000-0000-000050020000}"/>
    <cellStyle name="Millares 2 3 6" xfId="2933" xr:uid="{00000000-0005-0000-0000-000051020000}"/>
    <cellStyle name="Millares 2 3 6 2" xfId="3132" xr:uid="{00000000-0005-0000-0000-000052020000}"/>
    <cellStyle name="Millares 2 3 6 2 2" xfId="3626" xr:uid="{00000000-0005-0000-0000-000053020000}"/>
    <cellStyle name="Millares 2 3 6 3" xfId="3428" xr:uid="{00000000-0005-0000-0000-000054020000}"/>
    <cellStyle name="Millares 2 3 7" xfId="3031" xr:uid="{00000000-0005-0000-0000-000055020000}"/>
    <cellStyle name="Millares 2 3 7 2" xfId="3525" xr:uid="{00000000-0005-0000-0000-000056020000}"/>
    <cellStyle name="Millares 2 3 8" xfId="3233" xr:uid="{00000000-0005-0000-0000-000057020000}"/>
    <cellStyle name="Millares 2 4" xfId="218" xr:uid="{00000000-0005-0000-0000-000058020000}"/>
    <cellStyle name="Millares 2 4 2" xfId="219" xr:uid="{00000000-0005-0000-0000-000059020000}"/>
    <cellStyle name="Millares 2 4 2 2" xfId="2890" xr:uid="{00000000-0005-0000-0000-00005A020000}"/>
    <cellStyle name="Millares 2 4 2 2 2" xfId="2987" xr:uid="{00000000-0005-0000-0000-00005B020000}"/>
    <cellStyle name="Millares 2 4 2 2 2 2" xfId="3186" xr:uid="{00000000-0005-0000-0000-00005C020000}"/>
    <cellStyle name="Millares 2 4 2 2 2 2 2" xfId="3680" xr:uid="{00000000-0005-0000-0000-00005D020000}"/>
    <cellStyle name="Millares 2 4 2 2 2 3" xfId="3482" xr:uid="{00000000-0005-0000-0000-00005E020000}"/>
    <cellStyle name="Millares 2 4 2 2 3" xfId="3090" xr:uid="{00000000-0005-0000-0000-00005F020000}"/>
    <cellStyle name="Millares 2 4 2 2 3 2" xfId="3584" xr:uid="{00000000-0005-0000-0000-000060020000}"/>
    <cellStyle name="Millares 2 4 2 2 4" xfId="3386" xr:uid="{00000000-0005-0000-0000-000061020000}"/>
    <cellStyle name="Millares 2 4 2 3" xfId="2939" xr:uid="{00000000-0005-0000-0000-000062020000}"/>
    <cellStyle name="Millares 2 4 2 3 2" xfId="3138" xr:uid="{00000000-0005-0000-0000-000063020000}"/>
    <cellStyle name="Millares 2 4 2 3 2 2" xfId="3632" xr:uid="{00000000-0005-0000-0000-000064020000}"/>
    <cellStyle name="Millares 2 4 2 3 3" xfId="3434" xr:uid="{00000000-0005-0000-0000-000065020000}"/>
    <cellStyle name="Millares 2 4 2 4" xfId="3037" xr:uid="{00000000-0005-0000-0000-000066020000}"/>
    <cellStyle name="Millares 2 4 2 4 2" xfId="3531" xr:uid="{00000000-0005-0000-0000-000067020000}"/>
    <cellStyle name="Millares 2 4 2 5" xfId="3239" xr:uid="{00000000-0005-0000-0000-000068020000}"/>
    <cellStyle name="Millares 2 4 3" xfId="220" xr:uid="{00000000-0005-0000-0000-000069020000}"/>
    <cellStyle name="Millares 2 4 3 2" xfId="2891" xr:uid="{00000000-0005-0000-0000-00006A020000}"/>
    <cellStyle name="Millares 2 4 3 2 2" xfId="2988" xr:uid="{00000000-0005-0000-0000-00006B020000}"/>
    <cellStyle name="Millares 2 4 3 2 2 2" xfId="3187" xr:uid="{00000000-0005-0000-0000-00006C020000}"/>
    <cellStyle name="Millares 2 4 3 2 2 2 2" xfId="3681" xr:uid="{00000000-0005-0000-0000-00006D020000}"/>
    <cellStyle name="Millares 2 4 3 2 2 3" xfId="3483" xr:uid="{00000000-0005-0000-0000-00006E020000}"/>
    <cellStyle name="Millares 2 4 3 2 3" xfId="3091" xr:uid="{00000000-0005-0000-0000-00006F020000}"/>
    <cellStyle name="Millares 2 4 3 2 3 2" xfId="3585" xr:uid="{00000000-0005-0000-0000-000070020000}"/>
    <cellStyle name="Millares 2 4 3 2 4" xfId="3387" xr:uid="{00000000-0005-0000-0000-000071020000}"/>
    <cellStyle name="Millares 2 4 3 3" xfId="2940" xr:uid="{00000000-0005-0000-0000-000072020000}"/>
    <cellStyle name="Millares 2 4 3 3 2" xfId="3139" xr:uid="{00000000-0005-0000-0000-000073020000}"/>
    <cellStyle name="Millares 2 4 3 3 2 2" xfId="3633" xr:uid="{00000000-0005-0000-0000-000074020000}"/>
    <cellStyle name="Millares 2 4 3 3 3" xfId="3435" xr:uid="{00000000-0005-0000-0000-000075020000}"/>
    <cellStyle name="Millares 2 4 3 4" xfId="3038" xr:uid="{00000000-0005-0000-0000-000076020000}"/>
    <cellStyle name="Millares 2 4 3 4 2" xfId="3532" xr:uid="{00000000-0005-0000-0000-000077020000}"/>
    <cellStyle name="Millares 2 4 3 5" xfId="3240" xr:uid="{00000000-0005-0000-0000-000078020000}"/>
    <cellStyle name="Millares 2 4 4" xfId="2889" xr:uid="{00000000-0005-0000-0000-000079020000}"/>
    <cellStyle name="Millares 2 4 4 2" xfId="2986" xr:uid="{00000000-0005-0000-0000-00007A020000}"/>
    <cellStyle name="Millares 2 4 4 2 2" xfId="3185" xr:uid="{00000000-0005-0000-0000-00007B020000}"/>
    <cellStyle name="Millares 2 4 4 2 2 2" xfId="3679" xr:uid="{00000000-0005-0000-0000-00007C020000}"/>
    <cellStyle name="Millares 2 4 4 2 3" xfId="3481" xr:uid="{00000000-0005-0000-0000-00007D020000}"/>
    <cellStyle name="Millares 2 4 4 3" xfId="3089" xr:uid="{00000000-0005-0000-0000-00007E020000}"/>
    <cellStyle name="Millares 2 4 4 3 2" xfId="3583" xr:uid="{00000000-0005-0000-0000-00007F020000}"/>
    <cellStyle name="Millares 2 4 4 4" xfId="3385" xr:uid="{00000000-0005-0000-0000-000080020000}"/>
    <cellStyle name="Millares 2 4 5" xfId="2938" xr:uid="{00000000-0005-0000-0000-000081020000}"/>
    <cellStyle name="Millares 2 4 5 2" xfId="3137" xr:uid="{00000000-0005-0000-0000-000082020000}"/>
    <cellStyle name="Millares 2 4 5 2 2" xfId="3631" xr:uid="{00000000-0005-0000-0000-000083020000}"/>
    <cellStyle name="Millares 2 4 5 3" xfId="3433" xr:uid="{00000000-0005-0000-0000-000084020000}"/>
    <cellStyle name="Millares 2 4 6" xfId="3036" xr:uid="{00000000-0005-0000-0000-000085020000}"/>
    <cellStyle name="Millares 2 4 6 2" xfId="3530" xr:uid="{00000000-0005-0000-0000-000086020000}"/>
    <cellStyle name="Millares 2 4 7" xfId="3238" xr:uid="{00000000-0005-0000-0000-000087020000}"/>
    <cellStyle name="Millares 2 5" xfId="221" xr:uid="{00000000-0005-0000-0000-000088020000}"/>
    <cellStyle name="Millares 2 5 2" xfId="222" xr:uid="{00000000-0005-0000-0000-000089020000}"/>
    <cellStyle name="Millares 2 5 2 2" xfId="2893" xr:uid="{00000000-0005-0000-0000-00008A020000}"/>
    <cellStyle name="Millares 2 5 2 2 2" xfId="2990" xr:uid="{00000000-0005-0000-0000-00008B020000}"/>
    <cellStyle name="Millares 2 5 2 2 2 2" xfId="3189" xr:uid="{00000000-0005-0000-0000-00008C020000}"/>
    <cellStyle name="Millares 2 5 2 2 2 2 2" xfId="3683" xr:uid="{00000000-0005-0000-0000-00008D020000}"/>
    <cellStyle name="Millares 2 5 2 2 2 3" xfId="3485" xr:uid="{00000000-0005-0000-0000-00008E020000}"/>
    <cellStyle name="Millares 2 5 2 2 3" xfId="3093" xr:uid="{00000000-0005-0000-0000-00008F020000}"/>
    <cellStyle name="Millares 2 5 2 2 3 2" xfId="3587" xr:uid="{00000000-0005-0000-0000-000090020000}"/>
    <cellStyle name="Millares 2 5 2 2 4" xfId="3389" xr:uid="{00000000-0005-0000-0000-000091020000}"/>
    <cellStyle name="Millares 2 5 2 3" xfId="2942" xr:uid="{00000000-0005-0000-0000-000092020000}"/>
    <cellStyle name="Millares 2 5 2 3 2" xfId="3141" xr:uid="{00000000-0005-0000-0000-000093020000}"/>
    <cellStyle name="Millares 2 5 2 3 2 2" xfId="3635" xr:uid="{00000000-0005-0000-0000-000094020000}"/>
    <cellStyle name="Millares 2 5 2 3 3" xfId="3437" xr:uid="{00000000-0005-0000-0000-000095020000}"/>
    <cellStyle name="Millares 2 5 2 4" xfId="3040" xr:uid="{00000000-0005-0000-0000-000096020000}"/>
    <cellStyle name="Millares 2 5 2 4 2" xfId="3534" xr:uid="{00000000-0005-0000-0000-000097020000}"/>
    <cellStyle name="Millares 2 5 2 5" xfId="3242" xr:uid="{00000000-0005-0000-0000-000098020000}"/>
    <cellStyle name="Millares 2 5 3" xfId="2892" xr:uid="{00000000-0005-0000-0000-000099020000}"/>
    <cellStyle name="Millares 2 5 3 2" xfId="2989" xr:uid="{00000000-0005-0000-0000-00009A020000}"/>
    <cellStyle name="Millares 2 5 3 2 2" xfId="3188" xr:uid="{00000000-0005-0000-0000-00009B020000}"/>
    <cellStyle name="Millares 2 5 3 2 2 2" xfId="3682" xr:uid="{00000000-0005-0000-0000-00009C020000}"/>
    <cellStyle name="Millares 2 5 3 2 3" xfId="3484" xr:uid="{00000000-0005-0000-0000-00009D020000}"/>
    <cellStyle name="Millares 2 5 3 3" xfId="3092" xr:uid="{00000000-0005-0000-0000-00009E020000}"/>
    <cellStyle name="Millares 2 5 3 3 2" xfId="3586" xr:uid="{00000000-0005-0000-0000-00009F020000}"/>
    <cellStyle name="Millares 2 5 3 4" xfId="3388" xr:uid="{00000000-0005-0000-0000-0000A0020000}"/>
    <cellStyle name="Millares 2 5 4" xfId="2941" xr:uid="{00000000-0005-0000-0000-0000A1020000}"/>
    <cellStyle name="Millares 2 5 4 2" xfId="3140" xr:uid="{00000000-0005-0000-0000-0000A2020000}"/>
    <cellStyle name="Millares 2 5 4 2 2" xfId="3634" xr:uid="{00000000-0005-0000-0000-0000A3020000}"/>
    <cellStyle name="Millares 2 5 4 3" xfId="3436" xr:uid="{00000000-0005-0000-0000-0000A4020000}"/>
    <cellStyle name="Millares 2 5 5" xfId="3039" xr:uid="{00000000-0005-0000-0000-0000A5020000}"/>
    <cellStyle name="Millares 2 5 5 2" xfId="3533" xr:uid="{00000000-0005-0000-0000-0000A6020000}"/>
    <cellStyle name="Millares 2 5 6" xfId="3241" xr:uid="{00000000-0005-0000-0000-0000A7020000}"/>
    <cellStyle name="Millares 2 6" xfId="223" xr:uid="{00000000-0005-0000-0000-0000A8020000}"/>
    <cellStyle name="Millares 2 6 2" xfId="224" xr:uid="{00000000-0005-0000-0000-0000A9020000}"/>
    <cellStyle name="Millares 2 6 2 2" xfId="2895" xr:uid="{00000000-0005-0000-0000-0000AA020000}"/>
    <cellStyle name="Millares 2 6 2 2 2" xfId="2992" xr:uid="{00000000-0005-0000-0000-0000AB020000}"/>
    <cellStyle name="Millares 2 6 2 2 2 2" xfId="3191" xr:uid="{00000000-0005-0000-0000-0000AC020000}"/>
    <cellStyle name="Millares 2 6 2 2 2 2 2" xfId="3685" xr:uid="{00000000-0005-0000-0000-0000AD020000}"/>
    <cellStyle name="Millares 2 6 2 2 2 3" xfId="3487" xr:uid="{00000000-0005-0000-0000-0000AE020000}"/>
    <cellStyle name="Millares 2 6 2 2 3" xfId="3095" xr:uid="{00000000-0005-0000-0000-0000AF020000}"/>
    <cellStyle name="Millares 2 6 2 2 3 2" xfId="3589" xr:uid="{00000000-0005-0000-0000-0000B0020000}"/>
    <cellStyle name="Millares 2 6 2 2 4" xfId="3391" xr:uid="{00000000-0005-0000-0000-0000B1020000}"/>
    <cellStyle name="Millares 2 6 2 3" xfId="2944" xr:uid="{00000000-0005-0000-0000-0000B2020000}"/>
    <cellStyle name="Millares 2 6 2 3 2" xfId="3143" xr:uid="{00000000-0005-0000-0000-0000B3020000}"/>
    <cellStyle name="Millares 2 6 2 3 2 2" xfId="3637" xr:uid="{00000000-0005-0000-0000-0000B4020000}"/>
    <cellStyle name="Millares 2 6 2 3 3" xfId="3439" xr:uid="{00000000-0005-0000-0000-0000B5020000}"/>
    <cellStyle name="Millares 2 6 2 4" xfId="3042" xr:uid="{00000000-0005-0000-0000-0000B6020000}"/>
    <cellStyle name="Millares 2 6 2 4 2" xfId="3536" xr:uid="{00000000-0005-0000-0000-0000B7020000}"/>
    <cellStyle name="Millares 2 6 2 5" xfId="3244" xr:uid="{00000000-0005-0000-0000-0000B8020000}"/>
    <cellStyle name="Millares 2 6 3" xfId="2894" xr:uid="{00000000-0005-0000-0000-0000B9020000}"/>
    <cellStyle name="Millares 2 6 3 2" xfId="2991" xr:uid="{00000000-0005-0000-0000-0000BA020000}"/>
    <cellStyle name="Millares 2 6 3 2 2" xfId="3190" xr:uid="{00000000-0005-0000-0000-0000BB020000}"/>
    <cellStyle name="Millares 2 6 3 2 2 2" xfId="3684" xr:uid="{00000000-0005-0000-0000-0000BC020000}"/>
    <cellStyle name="Millares 2 6 3 2 3" xfId="3486" xr:uid="{00000000-0005-0000-0000-0000BD020000}"/>
    <cellStyle name="Millares 2 6 3 3" xfId="3094" xr:uid="{00000000-0005-0000-0000-0000BE020000}"/>
    <cellStyle name="Millares 2 6 3 3 2" xfId="3588" xr:uid="{00000000-0005-0000-0000-0000BF020000}"/>
    <cellStyle name="Millares 2 6 3 4" xfId="3390" xr:uid="{00000000-0005-0000-0000-0000C0020000}"/>
    <cellStyle name="Millares 2 6 4" xfId="2943" xr:uid="{00000000-0005-0000-0000-0000C1020000}"/>
    <cellStyle name="Millares 2 6 4 2" xfId="3142" xr:uid="{00000000-0005-0000-0000-0000C2020000}"/>
    <cellStyle name="Millares 2 6 4 2 2" xfId="3636" xr:uid="{00000000-0005-0000-0000-0000C3020000}"/>
    <cellStyle name="Millares 2 6 4 3" xfId="3438" xr:uid="{00000000-0005-0000-0000-0000C4020000}"/>
    <cellStyle name="Millares 2 6 5" xfId="3041" xr:uid="{00000000-0005-0000-0000-0000C5020000}"/>
    <cellStyle name="Millares 2 6 5 2" xfId="3535" xr:uid="{00000000-0005-0000-0000-0000C6020000}"/>
    <cellStyle name="Millares 2 6 6" xfId="3243" xr:uid="{00000000-0005-0000-0000-0000C7020000}"/>
    <cellStyle name="Millares 3" xfId="6" xr:uid="{00000000-0005-0000-0000-0000C8020000}"/>
    <cellStyle name="Millares 3 2" xfId="7" xr:uid="{00000000-0005-0000-0000-0000C9020000}"/>
    <cellStyle name="Millares 3 3" xfId="225" xr:uid="{00000000-0005-0000-0000-0000CA020000}"/>
    <cellStyle name="Millares 3 3 2" xfId="226" xr:uid="{00000000-0005-0000-0000-0000CB020000}"/>
    <cellStyle name="Millares 3 3 2 2" xfId="2897" xr:uid="{00000000-0005-0000-0000-0000CC020000}"/>
    <cellStyle name="Millares 3 3 2 2 2" xfId="2994" xr:uid="{00000000-0005-0000-0000-0000CD020000}"/>
    <cellStyle name="Millares 3 3 2 2 2 2" xfId="3193" xr:uid="{00000000-0005-0000-0000-0000CE020000}"/>
    <cellStyle name="Millares 3 3 2 2 2 2 2" xfId="3687" xr:uid="{00000000-0005-0000-0000-0000CF020000}"/>
    <cellStyle name="Millares 3 3 2 2 2 3" xfId="3489" xr:uid="{00000000-0005-0000-0000-0000D0020000}"/>
    <cellStyle name="Millares 3 3 2 2 3" xfId="3097" xr:uid="{00000000-0005-0000-0000-0000D1020000}"/>
    <cellStyle name="Millares 3 3 2 2 3 2" xfId="3591" xr:uid="{00000000-0005-0000-0000-0000D2020000}"/>
    <cellStyle name="Millares 3 3 2 2 4" xfId="3393" xr:uid="{00000000-0005-0000-0000-0000D3020000}"/>
    <cellStyle name="Millares 3 3 2 3" xfId="2946" xr:uid="{00000000-0005-0000-0000-0000D4020000}"/>
    <cellStyle name="Millares 3 3 2 3 2" xfId="3145" xr:uid="{00000000-0005-0000-0000-0000D5020000}"/>
    <cellStyle name="Millares 3 3 2 3 2 2" xfId="3639" xr:uid="{00000000-0005-0000-0000-0000D6020000}"/>
    <cellStyle name="Millares 3 3 2 3 3" xfId="3441" xr:uid="{00000000-0005-0000-0000-0000D7020000}"/>
    <cellStyle name="Millares 3 3 2 4" xfId="3044" xr:uid="{00000000-0005-0000-0000-0000D8020000}"/>
    <cellStyle name="Millares 3 3 2 4 2" xfId="3538" xr:uid="{00000000-0005-0000-0000-0000D9020000}"/>
    <cellStyle name="Millares 3 3 2 5" xfId="3246" xr:uid="{00000000-0005-0000-0000-0000DA020000}"/>
    <cellStyle name="Millares 3 3 3" xfId="2896" xr:uid="{00000000-0005-0000-0000-0000DB020000}"/>
    <cellStyle name="Millares 3 3 3 2" xfId="2993" xr:uid="{00000000-0005-0000-0000-0000DC020000}"/>
    <cellStyle name="Millares 3 3 3 2 2" xfId="3192" xr:uid="{00000000-0005-0000-0000-0000DD020000}"/>
    <cellStyle name="Millares 3 3 3 2 2 2" xfId="3686" xr:uid="{00000000-0005-0000-0000-0000DE020000}"/>
    <cellStyle name="Millares 3 3 3 2 3" xfId="3488" xr:uid="{00000000-0005-0000-0000-0000DF020000}"/>
    <cellStyle name="Millares 3 3 3 3" xfId="3096" xr:uid="{00000000-0005-0000-0000-0000E0020000}"/>
    <cellStyle name="Millares 3 3 3 3 2" xfId="3590" xr:uid="{00000000-0005-0000-0000-0000E1020000}"/>
    <cellStyle name="Millares 3 3 3 4" xfId="3392" xr:uid="{00000000-0005-0000-0000-0000E2020000}"/>
    <cellStyle name="Millares 3 3 4" xfId="2945" xr:uid="{00000000-0005-0000-0000-0000E3020000}"/>
    <cellStyle name="Millares 3 3 4 2" xfId="3144" xr:uid="{00000000-0005-0000-0000-0000E4020000}"/>
    <cellStyle name="Millares 3 3 4 2 2" xfId="3638" xr:uid="{00000000-0005-0000-0000-0000E5020000}"/>
    <cellStyle name="Millares 3 3 4 3" xfId="3440" xr:uid="{00000000-0005-0000-0000-0000E6020000}"/>
    <cellStyle name="Millares 3 3 5" xfId="3043" xr:uid="{00000000-0005-0000-0000-0000E7020000}"/>
    <cellStyle name="Millares 3 3 5 2" xfId="3537" xr:uid="{00000000-0005-0000-0000-0000E8020000}"/>
    <cellStyle name="Millares 3 3 6" xfId="3245" xr:uid="{00000000-0005-0000-0000-0000E9020000}"/>
    <cellStyle name="Millares 3 4" xfId="227" xr:uid="{00000000-0005-0000-0000-0000EA020000}"/>
    <cellStyle name="Millares 3 4 2" xfId="2898" xr:uid="{00000000-0005-0000-0000-0000EB020000}"/>
    <cellStyle name="Millares 3 4 2 2" xfId="2995" xr:uid="{00000000-0005-0000-0000-0000EC020000}"/>
    <cellStyle name="Millares 3 4 2 2 2" xfId="3194" xr:uid="{00000000-0005-0000-0000-0000ED020000}"/>
    <cellStyle name="Millares 3 4 2 2 2 2" xfId="3688" xr:uid="{00000000-0005-0000-0000-0000EE020000}"/>
    <cellStyle name="Millares 3 4 2 2 3" xfId="3490" xr:uid="{00000000-0005-0000-0000-0000EF020000}"/>
    <cellStyle name="Millares 3 4 2 3" xfId="3098" xr:uid="{00000000-0005-0000-0000-0000F0020000}"/>
    <cellStyle name="Millares 3 4 2 3 2" xfId="3592" xr:uid="{00000000-0005-0000-0000-0000F1020000}"/>
    <cellStyle name="Millares 3 4 2 4" xfId="3394" xr:uid="{00000000-0005-0000-0000-0000F2020000}"/>
    <cellStyle name="Millares 3 4 3" xfId="2947" xr:uid="{00000000-0005-0000-0000-0000F3020000}"/>
    <cellStyle name="Millares 3 4 3 2" xfId="3146" xr:uid="{00000000-0005-0000-0000-0000F4020000}"/>
    <cellStyle name="Millares 3 4 3 2 2" xfId="3640" xr:uid="{00000000-0005-0000-0000-0000F5020000}"/>
    <cellStyle name="Millares 3 4 3 3" xfId="3442" xr:uid="{00000000-0005-0000-0000-0000F6020000}"/>
    <cellStyle name="Millares 3 4 4" xfId="3045" xr:uid="{00000000-0005-0000-0000-0000F7020000}"/>
    <cellStyle name="Millares 3 4 4 2" xfId="3539" xr:uid="{00000000-0005-0000-0000-0000F8020000}"/>
    <cellStyle name="Millares 3 4 5" xfId="3247" xr:uid="{00000000-0005-0000-0000-0000F9020000}"/>
    <cellStyle name="Millares 4" xfId="8" xr:uid="{00000000-0005-0000-0000-0000FA020000}"/>
    <cellStyle name="Millares 4 2" xfId="228" xr:uid="{00000000-0005-0000-0000-0000FB020000}"/>
    <cellStyle name="Millares 5" xfId="229" xr:uid="{00000000-0005-0000-0000-0000FC020000}"/>
    <cellStyle name="Millares 5 2" xfId="230" xr:uid="{00000000-0005-0000-0000-0000FD020000}"/>
    <cellStyle name="Millares 5 3" xfId="231" xr:uid="{00000000-0005-0000-0000-0000FE020000}"/>
    <cellStyle name="Millares 5 4" xfId="232" xr:uid="{00000000-0005-0000-0000-0000FF020000}"/>
    <cellStyle name="Millares 5 4 2" xfId="2899" xr:uid="{00000000-0005-0000-0000-000000030000}"/>
    <cellStyle name="Millares 5 4 2 2" xfId="2996" xr:uid="{00000000-0005-0000-0000-000001030000}"/>
    <cellStyle name="Millares 5 4 2 2 2" xfId="3195" xr:uid="{00000000-0005-0000-0000-000002030000}"/>
    <cellStyle name="Millares 5 4 2 2 2 2" xfId="3689" xr:uid="{00000000-0005-0000-0000-000003030000}"/>
    <cellStyle name="Millares 5 4 2 2 3" xfId="3491" xr:uid="{00000000-0005-0000-0000-000004030000}"/>
    <cellStyle name="Millares 5 4 2 3" xfId="3099" xr:uid="{00000000-0005-0000-0000-000005030000}"/>
    <cellStyle name="Millares 5 4 2 3 2" xfId="3593" xr:uid="{00000000-0005-0000-0000-000006030000}"/>
    <cellStyle name="Millares 5 4 2 4" xfId="3395" xr:uid="{00000000-0005-0000-0000-000007030000}"/>
    <cellStyle name="Millares 5 4 3" xfId="2948" xr:uid="{00000000-0005-0000-0000-000008030000}"/>
    <cellStyle name="Millares 5 4 3 2" xfId="3147" xr:uid="{00000000-0005-0000-0000-000009030000}"/>
    <cellStyle name="Millares 5 4 3 2 2" xfId="3641" xr:uid="{00000000-0005-0000-0000-00000A030000}"/>
    <cellStyle name="Millares 5 4 3 3" xfId="3443" xr:uid="{00000000-0005-0000-0000-00000B030000}"/>
    <cellStyle name="Millares 5 4 4" xfId="3046" xr:uid="{00000000-0005-0000-0000-00000C030000}"/>
    <cellStyle name="Millares 5 4 4 2" xfId="3540" xr:uid="{00000000-0005-0000-0000-00000D030000}"/>
    <cellStyle name="Millares 5 4 5" xfId="3248" xr:uid="{00000000-0005-0000-0000-00000E030000}"/>
    <cellStyle name="Millares 5 5" xfId="233" xr:uid="{00000000-0005-0000-0000-00000F030000}"/>
    <cellStyle name="Millares 5 5 2" xfId="2900" xr:uid="{00000000-0005-0000-0000-000010030000}"/>
    <cellStyle name="Millares 5 5 2 2" xfId="2997" xr:uid="{00000000-0005-0000-0000-000011030000}"/>
    <cellStyle name="Millares 5 5 2 2 2" xfId="3196" xr:uid="{00000000-0005-0000-0000-000012030000}"/>
    <cellStyle name="Millares 5 5 2 2 2 2" xfId="3690" xr:uid="{00000000-0005-0000-0000-000013030000}"/>
    <cellStyle name="Millares 5 5 2 2 3" xfId="3492" xr:uid="{00000000-0005-0000-0000-000014030000}"/>
    <cellStyle name="Millares 5 5 2 3" xfId="3100" xr:uid="{00000000-0005-0000-0000-000015030000}"/>
    <cellStyle name="Millares 5 5 2 3 2" xfId="3594" xr:uid="{00000000-0005-0000-0000-000016030000}"/>
    <cellStyle name="Millares 5 5 2 4" xfId="3396" xr:uid="{00000000-0005-0000-0000-000017030000}"/>
    <cellStyle name="Millares 5 5 3" xfId="2949" xr:uid="{00000000-0005-0000-0000-000018030000}"/>
    <cellStyle name="Millares 5 5 3 2" xfId="3148" xr:uid="{00000000-0005-0000-0000-000019030000}"/>
    <cellStyle name="Millares 5 5 3 2 2" xfId="3642" xr:uid="{00000000-0005-0000-0000-00001A030000}"/>
    <cellStyle name="Millares 5 5 3 3" xfId="3444" xr:uid="{00000000-0005-0000-0000-00001B030000}"/>
    <cellStyle name="Millares 5 5 4" xfId="3047" xr:uid="{00000000-0005-0000-0000-00001C030000}"/>
    <cellStyle name="Millares 5 5 4 2" xfId="3541" xr:uid="{00000000-0005-0000-0000-00001D030000}"/>
    <cellStyle name="Millares 5 5 5" xfId="3249" xr:uid="{00000000-0005-0000-0000-00001E030000}"/>
    <cellStyle name="Millares 6" xfId="234" xr:uid="{00000000-0005-0000-0000-00001F030000}"/>
    <cellStyle name="Millares 6 2" xfId="235" xr:uid="{00000000-0005-0000-0000-000020030000}"/>
    <cellStyle name="Millares 6 2 2" xfId="236" xr:uid="{00000000-0005-0000-0000-000021030000}"/>
    <cellStyle name="Millares 6 2 2 2" xfId="2903" xr:uid="{00000000-0005-0000-0000-000022030000}"/>
    <cellStyle name="Millares 6 2 2 2 2" xfId="3000" xr:uid="{00000000-0005-0000-0000-000023030000}"/>
    <cellStyle name="Millares 6 2 2 2 2 2" xfId="3199" xr:uid="{00000000-0005-0000-0000-000024030000}"/>
    <cellStyle name="Millares 6 2 2 2 2 2 2" xfId="3693" xr:uid="{00000000-0005-0000-0000-000025030000}"/>
    <cellStyle name="Millares 6 2 2 2 2 3" xfId="3495" xr:uid="{00000000-0005-0000-0000-000026030000}"/>
    <cellStyle name="Millares 6 2 2 2 3" xfId="3103" xr:uid="{00000000-0005-0000-0000-000027030000}"/>
    <cellStyle name="Millares 6 2 2 2 3 2" xfId="3597" xr:uid="{00000000-0005-0000-0000-000028030000}"/>
    <cellStyle name="Millares 6 2 2 2 4" xfId="3399" xr:uid="{00000000-0005-0000-0000-000029030000}"/>
    <cellStyle name="Millares 6 2 2 3" xfId="2952" xr:uid="{00000000-0005-0000-0000-00002A030000}"/>
    <cellStyle name="Millares 6 2 2 3 2" xfId="3151" xr:uid="{00000000-0005-0000-0000-00002B030000}"/>
    <cellStyle name="Millares 6 2 2 3 2 2" xfId="3645" xr:uid="{00000000-0005-0000-0000-00002C030000}"/>
    <cellStyle name="Millares 6 2 2 3 3" xfId="3447" xr:uid="{00000000-0005-0000-0000-00002D030000}"/>
    <cellStyle name="Millares 6 2 2 4" xfId="3050" xr:uid="{00000000-0005-0000-0000-00002E030000}"/>
    <cellStyle name="Millares 6 2 2 4 2" xfId="3544" xr:uid="{00000000-0005-0000-0000-00002F030000}"/>
    <cellStyle name="Millares 6 2 2 5" xfId="3252" xr:uid="{00000000-0005-0000-0000-000030030000}"/>
    <cellStyle name="Millares 6 2 3" xfId="2902" xr:uid="{00000000-0005-0000-0000-000031030000}"/>
    <cellStyle name="Millares 6 2 3 2" xfId="2999" xr:uid="{00000000-0005-0000-0000-000032030000}"/>
    <cellStyle name="Millares 6 2 3 2 2" xfId="3198" xr:uid="{00000000-0005-0000-0000-000033030000}"/>
    <cellStyle name="Millares 6 2 3 2 2 2" xfId="3692" xr:uid="{00000000-0005-0000-0000-000034030000}"/>
    <cellStyle name="Millares 6 2 3 2 3" xfId="3494" xr:uid="{00000000-0005-0000-0000-000035030000}"/>
    <cellStyle name="Millares 6 2 3 3" xfId="3102" xr:uid="{00000000-0005-0000-0000-000036030000}"/>
    <cellStyle name="Millares 6 2 3 3 2" xfId="3596" xr:uid="{00000000-0005-0000-0000-000037030000}"/>
    <cellStyle name="Millares 6 2 3 4" xfId="3398" xr:uid="{00000000-0005-0000-0000-000038030000}"/>
    <cellStyle name="Millares 6 2 4" xfId="2951" xr:uid="{00000000-0005-0000-0000-000039030000}"/>
    <cellStyle name="Millares 6 2 4 2" xfId="3150" xr:uid="{00000000-0005-0000-0000-00003A030000}"/>
    <cellStyle name="Millares 6 2 4 2 2" xfId="3644" xr:uid="{00000000-0005-0000-0000-00003B030000}"/>
    <cellStyle name="Millares 6 2 4 3" xfId="3446" xr:uid="{00000000-0005-0000-0000-00003C030000}"/>
    <cellStyle name="Millares 6 2 5" xfId="3049" xr:uid="{00000000-0005-0000-0000-00003D030000}"/>
    <cellStyle name="Millares 6 2 5 2" xfId="3543" xr:uid="{00000000-0005-0000-0000-00003E030000}"/>
    <cellStyle name="Millares 6 2 6" xfId="3251" xr:uid="{00000000-0005-0000-0000-00003F030000}"/>
    <cellStyle name="Millares 6 3" xfId="237" xr:uid="{00000000-0005-0000-0000-000040030000}"/>
    <cellStyle name="Millares 6 3 2" xfId="238" xr:uid="{00000000-0005-0000-0000-000041030000}"/>
    <cellStyle name="Millares 6 3 2 2" xfId="2905" xr:uid="{00000000-0005-0000-0000-000042030000}"/>
    <cellStyle name="Millares 6 3 2 2 2" xfId="3002" xr:uid="{00000000-0005-0000-0000-000043030000}"/>
    <cellStyle name="Millares 6 3 2 2 2 2" xfId="3201" xr:uid="{00000000-0005-0000-0000-000044030000}"/>
    <cellStyle name="Millares 6 3 2 2 2 2 2" xfId="3695" xr:uid="{00000000-0005-0000-0000-000045030000}"/>
    <cellStyle name="Millares 6 3 2 2 2 3" xfId="3497" xr:uid="{00000000-0005-0000-0000-000046030000}"/>
    <cellStyle name="Millares 6 3 2 2 3" xfId="3105" xr:uid="{00000000-0005-0000-0000-000047030000}"/>
    <cellStyle name="Millares 6 3 2 2 3 2" xfId="3599" xr:uid="{00000000-0005-0000-0000-000048030000}"/>
    <cellStyle name="Millares 6 3 2 2 4" xfId="3401" xr:uid="{00000000-0005-0000-0000-000049030000}"/>
    <cellStyle name="Millares 6 3 2 3" xfId="2954" xr:uid="{00000000-0005-0000-0000-00004A030000}"/>
    <cellStyle name="Millares 6 3 2 3 2" xfId="3153" xr:uid="{00000000-0005-0000-0000-00004B030000}"/>
    <cellStyle name="Millares 6 3 2 3 2 2" xfId="3647" xr:uid="{00000000-0005-0000-0000-00004C030000}"/>
    <cellStyle name="Millares 6 3 2 3 3" xfId="3449" xr:uid="{00000000-0005-0000-0000-00004D030000}"/>
    <cellStyle name="Millares 6 3 2 4" xfId="3052" xr:uid="{00000000-0005-0000-0000-00004E030000}"/>
    <cellStyle name="Millares 6 3 2 4 2" xfId="3546" xr:uid="{00000000-0005-0000-0000-00004F030000}"/>
    <cellStyle name="Millares 6 3 2 5" xfId="3254" xr:uid="{00000000-0005-0000-0000-000050030000}"/>
    <cellStyle name="Millares 6 3 3" xfId="2904" xr:uid="{00000000-0005-0000-0000-000051030000}"/>
    <cellStyle name="Millares 6 3 3 2" xfId="3001" xr:uid="{00000000-0005-0000-0000-000052030000}"/>
    <cellStyle name="Millares 6 3 3 2 2" xfId="3200" xr:uid="{00000000-0005-0000-0000-000053030000}"/>
    <cellStyle name="Millares 6 3 3 2 2 2" xfId="3694" xr:uid="{00000000-0005-0000-0000-000054030000}"/>
    <cellStyle name="Millares 6 3 3 2 3" xfId="3496" xr:uid="{00000000-0005-0000-0000-000055030000}"/>
    <cellStyle name="Millares 6 3 3 3" xfId="3104" xr:uid="{00000000-0005-0000-0000-000056030000}"/>
    <cellStyle name="Millares 6 3 3 3 2" xfId="3598" xr:uid="{00000000-0005-0000-0000-000057030000}"/>
    <cellStyle name="Millares 6 3 3 4" xfId="3400" xr:uid="{00000000-0005-0000-0000-000058030000}"/>
    <cellStyle name="Millares 6 3 4" xfId="2953" xr:uid="{00000000-0005-0000-0000-000059030000}"/>
    <cellStyle name="Millares 6 3 4 2" xfId="3152" xr:uid="{00000000-0005-0000-0000-00005A030000}"/>
    <cellStyle name="Millares 6 3 4 2 2" xfId="3646" xr:uid="{00000000-0005-0000-0000-00005B030000}"/>
    <cellStyle name="Millares 6 3 4 3" xfId="3448" xr:uid="{00000000-0005-0000-0000-00005C030000}"/>
    <cellStyle name="Millares 6 3 5" xfId="3051" xr:uid="{00000000-0005-0000-0000-00005D030000}"/>
    <cellStyle name="Millares 6 3 5 2" xfId="3545" xr:uid="{00000000-0005-0000-0000-00005E030000}"/>
    <cellStyle name="Millares 6 3 6" xfId="3253" xr:uid="{00000000-0005-0000-0000-00005F030000}"/>
    <cellStyle name="Millares 6 4" xfId="239" xr:uid="{00000000-0005-0000-0000-000060030000}"/>
    <cellStyle name="Millares 6 5" xfId="2901" xr:uid="{00000000-0005-0000-0000-000061030000}"/>
    <cellStyle name="Millares 6 5 2" xfId="2998" xr:uid="{00000000-0005-0000-0000-000062030000}"/>
    <cellStyle name="Millares 6 5 2 2" xfId="3197" xr:uid="{00000000-0005-0000-0000-000063030000}"/>
    <cellStyle name="Millares 6 5 2 2 2" xfId="3691" xr:uid="{00000000-0005-0000-0000-000064030000}"/>
    <cellStyle name="Millares 6 5 2 3" xfId="3493" xr:uid="{00000000-0005-0000-0000-000065030000}"/>
    <cellStyle name="Millares 6 5 3" xfId="3101" xr:uid="{00000000-0005-0000-0000-000066030000}"/>
    <cellStyle name="Millares 6 5 3 2" xfId="3595" xr:uid="{00000000-0005-0000-0000-000067030000}"/>
    <cellStyle name="Millares 6 5 4" xfId="3397" xr:uid="{00000000-0005-0000-0000-000068030000}"/>
    <cellStyle name="Millares 6 6" xfId="2950" xr:uid="{00000000-0005-0000-0000-000069030000}"/>
    <cellStyle name="Millares 6 6 2" xfId="3149" xr:uid="{00000000-0005-0000-0000-00006A030000}"/>
    <cellStyle name="Millares 6 6 2 2" xfId="3643" xr:uid="{00000000-0005-0000-0000-00006B030000}"/>
    <cellStyle name="Millares 6 6 3" xfId="3445" xr:uid="{00000000-0005-0000-0000-00006C030000}"/>
    <cellStyle name="Millares 6 7" xfId="3048" xr:uid="{00000000-0005-0000-0000-00006D030000}"/>
    <cellStyle name="Millares 6 7 2" xfId="3542" xr:uid="{00000000-0005-0000-0000-00006E030000}"/>
    <cellStyle name="Millares 6 8" xfId="3250" xr:uid="{00000000-0005-0000-0000-00006F030000}"/>
    <cellStyle name="Millares 7" xfId="240" xr:uid="{00000000-0005-0000-0000-000070030000}"/>
    <cellStyle name="Millares 7 2" xfId="241" xr:uid="{00000000-0005-0000-0000-000071030000}"/>
    <cellStyle name="Millares 7 2 2" xfId="2907" xr:uid="{00000000-0005-0000-0000-000072030000}"/>
    <cellStyle name="Millares 7 2 2 2" xfId="3004" xr:uid="{00000000-0005-0000-0000-000073030000}"/>
    <cellStyle name="Millares 7 2 2 2 2" xfId="3203" xr:uid="{00000000-0005-0000-0000-000074030000}"/>
    <cellStyle name="Millares 7 2 2 2 2 2" xfId="3697" xr:uid="{00000000-0005-0000-0000-000075030000}"/>
    <cellStyle name="Millares 7 2 2 2 3" xfId="3499" xr:uid="{00000000-0005-0000-0000-000076030000}"/>
    <cellStyle name="Millares 7 2 2 3" xfId="3107" xr:uid="{00000000-0005-0000-0000-000077030000}"/>
    <cellStyle name="Millares 7 2 2 3 2" xfId="3601" xr:uid="{00000000-0005-0000-0000-000078030000}"/>
    <cellStyle name="Millares 7 2 2 4" xfId="3403" xr:uid="{00000000-0005-0000-0000-000079030000}"/>
    <cellStyle name="Millares 7 2 3" xfId="2956" xr:uid="{00000000-0005-0000-0000-00007A030000}"/>
    <cellStyle name="Millares 7 2 3 2" xfId="3155" xr:uid="{00000000-0005-0000-0000-00007B030000}"/>
    <cellStyle name="Millares 7 2 3 2 2" xfId="3649" xr:uid="{00000000-0005-0000-0000-00007C030000}"/>
    <cellStyle name="Millares 7 2 3 3" xfId="3451" xr:uid="{00000000-0005-0000-0000-00007D030000}"/>
    <cellStyle name="Millares 7 2 4" xfId="3054" xr:uid="{00000000-0005-0000-0000-00007E030000}"/>
    <cellStyle name="Millares 7 2 4 2" xfId="3548" xr:uid="{00000000-0005-0000-0000-00007F030000}"/>
    <cellStyle name="Millares 7 2 5" xfId="3256" xr:uid="{00000000-0005-0000-0000-000080030000}"/>
    <cellStyle name="Millares 7 3" xfId="2906" xr:uid="{00000000-0005-0000-0000-000081030000}"/>
    <cellStyle name="Millares 7 3 2" xfId="3003" xr:uid="{00000000-0005-0000-0000-000082030000}"/>
    <cellStyle name="Millares 7 3 2 2" xfId="3202" xr:uid="{00000000-0005-0000-0000-000083030000}"/>
    <cellStyle name="Millares 7 3 2 2 2" xfId="3696" xr:uid="{00000000-0005-0000-0000-000084030000}"/>
    <cellStyle name="Millares 7 3 2 3" xfId="3498" xr:uid="{00000000-0005-0000-0000-000085030000}"/>
    <cellStyle name="Millares 7 3 3" xfId="3106" xr:uid="{00000000-0005-0000-0000-000086030000}"/>
    <cellStyle name="Millares 7 3 3 2" xfId="3600" xr:uid="{00000000-0005-0000-0000-000087030000}"/>
    <cellStyle name="Millares 7 3 4" xfId="3402" xr:uid="{00000000-0005-0000-0000-000088030000}"/>
    <cellStyle name="Millares 7 4" xfId="2955" xr:uid="{00000000-0005-0000-0000-000089030000}"/>
    <cellStyle name="Millares 7 4 2" xfId="3154" xr:uid="{00000000-0005-0000-0000-00008A030000}"/>
    <cellStyle name="Millares 7 4 2 2" xfId="3648" xr:uid="{00000000-0005-0000-0000-00008B030000}"/>
    <cellStyle name="Millares 7 4 3" xfId="3450" xr:uid="{00000000-0005-0000-0000-00008C030000}"/>
    <cellStyle name="Millares 7 5" xfId="3053" xr:uid="{00000000-0005-0000-0000-00008D030000}"/>
    <cellStyle name="Millares 7 5 2" xfId="3547" xr:uid="{00000000-0005-0000-0000-00008E030000}"/>
    <cellStyle name="Millares 7 6" xfId="3255" xr:uid="{00000000-0005-0000-0000-00008F030000}"/>
    <cellStyle name="Millares 8" xfId="242" xr:uid="{00000000-0005-0000-0000-000090030000}"/>
    <cellStyle name="Millares 8 2" xfId="243" xr:uid="{00000000-0005-0000-0000-000091030000}"/>
    <cellStyle name="Millares 8 2 2" xfId="2909" xr:uid="{00000000-0005-0000-0000-000092030000}"/>
    <cellStyle name="Millares 8 2 2 2" xfId="3006" xr:uid="{00000000-0005-0000-0000-000093030000}"/>
    <cellStyle name="Millares 8 2 2 2 2" xfId="3205" xr:uid="{00000000-0005-0000-0000-000094030000}"/>
    <cellStyle name="Millares 8 2 2 2 2 2" xfId="3699" xr:uid="{00000000-0005-0000-0000-000095030000}"/>
    <cellStyle name="Millares 8 2 2 2 3" xfId="3501" xr:uid="{00000000-0005-0000-0000-000096030000}"/>
    <cellStyle name="Millares 8 2 2 3" xfId="3109" xr:uid="{00000000-0005-0000-0000-000097030000}"/>
    <cellStyle name="Millares 8 2 2 3 2" xfId="3603" xr:uid="{00000000-0005-0000-0000-000098030000}"/>
    <cellStyle name="Millares 8 2 2 4" xfId="3405" xr:uid="{00000000-0005-0000-0000-000099030000}"/>
    <cellStyle name="Millares 8 2 3" xfId="2958" xr:uid="{00000000-0005-0000-0000-00009A030000}"/>
    <cellStyle name="Millares 8 2 3 2" xfId="3157" xr:uid="{00000000-0005-0000-0000-00009B030000}"/>
    <cellStyle name="Millares 8 2 3 2 2" xfId="3651" xr:uid="{00000000-0005-0000-0000-00009C030000}"/>
    <cellStyle name="Millares 8 2 3 3" xfId="3453" xr:uid="{00000000-0005-0000-0000-00009D030000}"/>
    <cellStyle name="Millares 8 2 4" xfId="3056" xr:uid="{00000000-0005-0000-0000-00009E030000}"/>
    <cellStyle name="Millares 8 2 4 2" xfId="3550" xr:uid="{00000000-0005-0000-0000-00009F030000}"/>
    <cellStyle name="Millares 8 2 5" xfId="3258" xr:uid="{00000000-0005-0000-0000-0000A0030000}"/>
    <cellStyle name="Millares 8 3" xfId="2908" xr:uid="{00000000-0005-0000-0000-0000A1030000}"/>
    <cellStyle name="Millares 8 3 2" xfId="3005" xr:uid="{00000000-0005-0000-0000-0000A2030000}"/>
    <cellStyle name="Millares 8 3 2 2" xfId="3204" xr:uid="{00000000-0005-0000-0000-0000A3030000}"/>
    <cellStyle name="Millares 8 3 2 2 2" xfId="3698" xr:uid="{00000000-0005-0000-0000-0000A4030000}"/>
    <cellStyle name="Millares 8 3 2 3" xfId="3500" xr:uid="{00000000-0005-0000-0000-0000A5030000}"/>
    <cellStyle name="Millares 8 3 3" xfId="3108" xr:uid="{00000000-0005-0000-0000-0000A6030000}"/>
    <cellStyle name="Millares 8 3 3 2" xfId="3602" xr:uid="{00000000-0005-0000-0000-0000A7030000}"/>
    <cellStyle name="Millares 8 3 4" xfId="3404" xr:uid="{00000000-0005-0000-0000-0000A8030000}"/>
    <cellStyle name="Millares 8 4" xfId="2957" xr:uid="{00000000-0005-0000-0000-0000A9030000}"/>
    <cellStyle name="Millares 8 4 2" xfId="3156" xr:uid="{00000000-0005-0000-0000-0000AA030000}"/>
    <cellStyle name="Millares 8 4 2 2" xfId="3650" xr:uid="{00000000-0005-0000-0000-0000AB030000}"/>
    <cellStyle name="Millares 8 4 3" xfId="3452" xr:uid="{00000000-0005-0000-0000-0000AC030000}"/>
    <cellStyle name="Millares 8 5" xfId="3055" xr:uid="{00000000-0005-0000-0000-0000AD030000}"/>
    <cellStyle name="Millares 8 5 2" xfId="3549" xr:uid="{00000000-0005-0000-0000-0000AE030000}"/>
    <cellStyle name="Millares 8 6" xfId="3257" xr:uid="{00000000-0005-0000-0000-0000AF030000}"/>
    <cellStyle name="Millares 9" xfId="244" xr:uid="{00000000-0005-0000-0000-0000B0030000}"/>
    <cellStyle name="Millares 9 2" xfId="245" xr:uid="{00000000-0005-0000-0000-0000B1030000}"/>
    <cellStyle name="Millares 9 2 2" xfId="2911" xr:uid="{00000000-0005-0000-0000-0000B2030000}"/>
    <cellStyle name="Millares 9 2 2 2" xfId="3008" xr:uid="{00000000-0005-0000-0000-0000B3030000}"/>
    <cellStyle name="Millares 9 2 2 2 2" xfId="3207" xr:uid="{00000000-0005-0000-0000-0000B4030000}"/>
    <cellStyle name="Millares 9 2 2 2 2 2" xfId="3701" xr:uid="{00000000-0005-0000-0000-0000B5030000}"/>
    <cellStyle name="Millares 9 2 2 2 3" xfId="3503" xr:uid="{00000000-0005-0000-0000-0000B6030000}"/>
    <cellStyle name="Millares 9 2 2 3" xfId="3111" xr:uid="{00000000-0005-0000-0000-0000B7030000}"/>
    <cellStyle name="Millares 9 2 2 3 2" xfId="3605" xr:uid="{00000000-0005-0000-0000-0000B8030000}"/>
    <cellStyle name="Millares 9 2 2 4" xfId="3407" xr:uid="{00000000-0005-0000-0000-0000B9030000}"/>
    <cellStyle name="Millares 9 2 3" xfId="2960" xr:uid="{00000000-0005-0000-0000-0000BA030000}"/>
    <cellStyle name="Millares 9 2 3 2" xfId="3159" xr:uid="{00000000-0005-0000-0000-0000BB030000}"/>
    <cellStyle name="Millares 9 2 3 2 2" xfId="3653" xr:uid="{00000000-0005-0000-0000-0000BC030000}"/>
    <cellStyle name="Millares 9 2 3 3" xfId="3455" xr:uid="{00000000-0005-0000-0000-0000BD030000}"/>
    <cellStyle name="Millares 9 2 4" xfId="3058" xr:uid="{00000000-0005-0000-0000-0000BE030000}"/>
    <cellStyle name="Millares 9 2 4 2" xfId="3552" xr:uid="{00000000-0005-0000-0000-0000BF030000}"/>
    <cellStyle name="Millares 9 2 5" xfId="3260" xr:uid="{00000000-0005-0000-0000-0000C0030000}"/>
    <cellStyle name="Millares 9 3" xfId="2910" xr:uid="{00000000-0005-0000-0000-0000C1030000}"/>
    <cellStyle name="Millares 9 3 2" xfId="3007" xr:uid="{00000000-0005-0000-0000-0000C2030000}"/>
    <cellStyle name="Millares 9 3 2 2" xfId="3206" xr:uid="{00000000-0005-0000-0000-0000C3030000}"/>
    <cellStyle name="Millares 9 3 2 2 2" xfId="3700" xr:uid="{00000000-0005-0000-0000-0000C4030000}"/>
    <cellStyle name="Millares 9 3 2 3" xfId="3502" xr:uid="{00000000-0005-0000-0000-0000C5030000}"/>
    <cellStyle name="Millares 9 3 3" xfId="3110" xr:uid="{00000000-0005-0000-0000-0000C6030000}"/>
    <cellStyle name="Millares 9 3 3 2" xfId="3604" xr:uid="{00000000-0005-0000-0000-0000C7030000}"/>
    <cellStyle name="Millares 9 3 4" xfId="3406" xr:uid="{00000000-0005-0000-0000-0000C8030000}"/>
    <cellStyle name="Millares 9 4" xfId="2959" xr:uid="{00000000-0005-0000-0000-0000C9030000}"/>
    <cellStyle name="Millares 9 4 2" xfId="3158" xr:uid="{00000000-0005-0000-0000-0000CA030000}"/>
    <cellStyle name="Millares 9 4 2 2" xfId="3652" xr:uid="{00000000-0005-0000-0000-0000CB030000}"/>
    <cellStyle name="Millares 9 4 3" xfId="3454" xr:uid="{00000000-0005-0000-0000-0000CC030000}"/>
    <cellStyle name="Millares 9 5" xfId="3057" xr:uid="{00000000-0005-0000-0000-0000CD030000}"/>
    <cellStyle name="Millares 9 5 2" xfId="3551" xr:uid="{00000000-0005-0000-0000-0000CE030000}"/>
    <cellStyle name="Millares 9 6" xfId="3259" xr:uid="{00000000-0005-0000-0000-0000CF030000}"/>
    <cellStyle name="Moneda" xfId="9" builtinId="4"/>
    <cellStyle name="Moneda [0]" xfId="2865" builtinId="7"/>
    <cellStyle name="Moneda [0] 10" xfId="2915" xr:uid="{00000000-0005-0000-0000-0000D2030000}"/>
    <cellStyle name="Moneda [0] 10 2" xfId="3012" xr:uid="{00000000-0005-0000-0000-0000D3030000}"/>
    <cellStyle name="Moneda [0] 10 2 2" xfId="3211" xr:uid="{00000000-0005-0000-0000-0000D4030000}"/>
    <cellStyle name="Moneda [0] 10 2 2 2" xfId="3705" xr:uid="{00000000-0005-0000-0000-0000D5030000}"/>
    <cellStyle name="Moneda [0] 10 2 3" xfId="3507" xr:uid="{00000000-0005-0000-0000-0000D6030000}"/>
    <cellStyle name="Moneda [0] 10 3" xfId="3115" xr:uid="{00000000-0005-0000-0000-0000D7030000}"/>
    <cellStyle name="Moneda [0] 10 3 2" xfId="3609" xr:uid="{00000000-0005-0000-0000-0000D8030000}"/>
    <cellStyle name="Moneda [0] 10 4" xfId="3411" xr:uid="{00000000-0005-0000-0000-0000D9030000}"/>
    <cellStyle name="Moneda [0] 11" xfId="2964" xr:uid="{00000000-0005-0000-0000-0000DA030000}"/>
    <cellStyle name="Moneda [0] 11 2" xfId="3163" xr:uid="{00000000-0005-0000-0000-0000DB030000}"/>
    <cellStyle name="Moneda [0] 11 2 2" xfId="3657" xr:uid="{00000000-0005-0000-0000-0000DC030000}"/>
    <cellStyle name="Moneda [0] 11 3" xfId="3459" xr:uid="{00000000-0005-0000-0000-0000DD030000}"/>
    <cellStyle name="Moneda [0] 12" xfId="3067" xr:uid="{00000000-0005-0000-0000-0000DE030000}"/>
    <cellStyle name="Moneda [0] 12 2" xfId="3561" xr:uid="{00000000-0005-0000-0000-0000DF030000}"/>
    <cellStyle name="Moneda [0] 13" xfId="3363" xr:uid="{00000000-0005-0000-0000-0000E0030000}"/>
    <cellStyle name="Moneda [0] 2" xfId="246" xr:uid="{00000000-0005-0000-0000-0000E1030000}"/>
    <cellStyle name="Moneda [0] 2 2" xfId="247" xr:uid="{00000000-0005-0000-0000-0000E2030000}"/>
    <cellStyle name="Moneda [0] 2 2 2" xfId="248" xr:uid="{00000000-0005-0000-0000-0000E3030000}"/>
    <cellStyle name="Moneda [0] 2 2 2 2" xfId="249" xr:uid="{00000000-0005-0000-0000-0000E4030000}"/>
    <cellStyle name="Moneda [0] 2 2 3" xfId="250" xr:uid="{00000000-0005-0000-0000-0000E5030000}"/>
    <cellStyle name="Moneda [0] 2 2 4" xfId="251" xr:uid="{00000000-0005-0000-0000-0000E6030000}"/>
    <cellStyle name="Moneda [0] 2 3" xfId="252" xr:uid="{00000000-0005-0000-0000-0000E7030000}"/>
    <cellStyle name="Moneda [0] 2 3 2" xfId="253" xr:uid="{00000000-0005-0000-0000-0000E8030000}"/>
    <cellStyle name="Moneda [0] 2 4" xfId="254" xr:uid="{00000000-0005-0000-0000-0000E9030000}"/>
    <cellStyle name="Moneda [0] 2 5" xfId="255" xr:uid="{00000000-0005-0000-0000-0000EA030000}"/>
    <cellStyle name="Moneda [0] 3" xfId="256" xr:uid="{00000000-0005-0000-0000-0000EB030000}"/>
    <cellStyle name="Moneda [0] 3 10" xfId="3059" xr:uid="{00000000-0005-0000-0000-0000EC030000}"/>
    <cellStyle name="Moneda [0] 3 10 2" xfId="3553" xr:uid="{00000000-0005-0000-0000-0000ED030000}"/>
    <cellStyle name="Moneda [0] 3 11" xfId="3261" xr:uid="{00000000-0005-0000-0000-0000EE030000}"/>
    <cellStyle name="Moneda [0] 3 2" xfId="257" xr:uid="{00000000-0005-0000-0000-0000EF030000}"/>
    <cellStyle name="Moneda [0] 3 2 2" xfId="258" xr:uid="{00000000-0005-0000-0000-0000F0030000}"/>
    <cellStyle name="Moneda [0] 3 2 2 2" xfId="259" xr:uid="{00000000-0005-0000-0000-0000F1030000}"/>
    <cellStyle name="Moneda [0] 3 2 3" xfId="260" xr:uid="{00000000-0005-0000-0000-0000F2030000}"/>
    <cellStyle name="Moneda [0] 3 2 3 2" xfId="261" xr:uid="{00000000-0005-0000-0000-0000F3030000}"/>
    <cellStyle name="Moneda [0] 3 2 4" xfId="262" xr:uid="{00000000-0005-0000-0000-0000F4030000}"/>
    <cellStyle name="Moneda [0] 3 2 4 2" xfId="263" xr:uid="{00000000-0005-0000-0000-0000F5030000}"/>
    <cellStyle name="Moneda [0] 3 2 5" xfId="264" xr:uid="{00000000-0005-0000-0000-0000F6030000}"/>
    <cellStyle name="Moneda [0] 3 3" xfId="265" xr:uid="{00000000-0005-0000-0000-0000F7030000}"/>
    <cellStyle name="Moneda [0] 3 3 2" xfId="266" xr:uid="{00000000-0005-0000-0000-0000F8030000}"/>
    <cellStyle name="Moneda [0] 3 4" xfId="267" xr:uid="{00000000-0005-0000-0000-0000F9030000}"/>
    <cellStyle name="Moneda [0] 3 4 2" xfId="268" xr:uid="{00000000-0005-0000-0000-0000FA030000}"/>
    <cellStyle name="Moneda [0] 3 5" xfId="269" xr:uid="{00000000-0005-0000-0000-0000FB030000}"/>
    <cellStyle name="Moneda [0] 3 5 2" xfId="270" xr:uid="{00000000-0005-0000-0000-0000FC030000}"/>
    <cellStyle name="Moneda [0] 3 6" xfId="271" xr:uid="{00000000-0005-0000-0000-0000FD030000}"/>
    <cellStyle name="Moneda [0] 3 7" xfId="272" xr:uid="{00000000-0005-0000-0000-0000FE030000}"/>
    <cellStyle name="Moneda [0] 3 8" xfId="2912" xr:uid="{00000000-0005-0000-0000-0000FF030000}"/>
    <cellStyle name="Moneda [0] 3 8 2" xfId="3009" xr:uid="{00000000-0005-0000-0000-000000040000}"/>
    <cellStyle name="Moneda [0] 3 8 2 2" xfId="3208" xr:uid="{00000000-0005-0000-0000-000001040000}"/>
    <cellStyle name="Moneda [0] 3 8 2 2 2" xfId="3702" xr:uid="{00000000-0005-0000-0000-000002040000}"/>
    <cellStyle name="Moneda [0] 3 8 2 3" xfId="3504" xr:uid="{00000000-0005-0000-0000-000003040000}"/>
    <cellStyle name="Moneda [0] 3 8 3" xfId="3112" xr:uid="{00000000-0005-0000-0000-000004040000}"/>
    <cellStyle name="Moneda [0] 3 8 3 2" xfId="3606" xr:uid="{00000000-0005-0000-0000-000005040000}"/>
    <cellStyle name="Moneda [0] 3 8 4" xfId="3408" xr:uid="{00000000-0005-0000-0000-000006040000}"/>
    <cellStyle name="Moneda [0] 3 9" xfId="2961" xr:uid="{00000000-0005-0000-0000-000007040000}"/>
    <cellStyle name="Moneda [0] 3 9 2" xfId="3160" xr:uid="{00000000-0005-0000-0000-000008040000}"/>
    <cellStyle name="Moneda [0] 3 9 2 2" xfId="3654" xr:uid="{00000000-0005-0000-0000-000009040000}"/>
    <cellStyle name="Moneda [0] 3 9 3" xfId="3456" xr:uid="{00000000-0005-0000-0000-00000A040000}"/>
    <cellStyle name="Moneda [0] 4" xfId="273" xr:uid="{00000000-0005-0000-0000-00000B040000}"/>
    <cellStyle name="Moneda [0] 4 2" xfId="274" xr:uid="{00000000-0005-0000-0000-00000C040000}"/>
    <cellStyle name="Moneda [0] 4 2 2" xfId="275" xr:uid="{00000000-0005-0000-0000-00000D040000}"/>
    <cellStyle name="Moneda [0] 4 3" xfId="276" xr:uid="{00000000-0005-0000-0000-00000E040000}"/>
    <cellStyle name="Moneda [0] 4 3 2" xfId="277" xr:uid="{00000000-0005-0000-0000-00000F040000}"/>
    <cellStyle name="Moneda [0] 4 4" xfId="278" xr:uid="{00000000-0005-0000-0000-000010040000}"/>
    <cellStyle name="Moneda [0] 4 4 2" xfId="279" xr:uid="{00000000-0005-0000-0000-000011040000}"/>
    <cellStyle name="Moneda [0] 4 5" xfId="280" xr:uid="{00000000-0005-0000-0000-000012040000}"/>
    <cellStyle name="Moneda [0] 5" xfId="281" xr:uid="{00000000-0005-0000-0000-000013040000}"/>
    <cellStyle name="Moneda [0] 5 2" xfId="282" xr:uid="{00000000-0005-0000-0000-000014040000}"/>
    <cellStyle name="Moneda [0] 5 2 2" xfId="283" xr:uid="{00000000-0005-0000-0000-000015040000}"/>
    <cellStyle name="Moneda [0] 5 3" xfId="284" xr:uid="{00000000-0005-0000-0000-000016040000}"/>
    <cellStyle name="Moneda [0] 5 3 2" xfId="285" xr:uid="{00000000-0005-0000-0000-000017040000}"/>
    <cellStyle name="Moneda [0] 5 4" xfId="286" xr:uid="{00000000-0005-0000-0000-000018040000}"/>
    <cellStyle name="Moneda [0] 5 4 2" xfId="287" xr:uid="{00000000-0005-0000-0000-000019040000}"/>
    <cellStyle name="Moneda [0] 5 5" xfId="288" xr:uid="{00000000-0005-0000-0000-00001A040000}"/>
    <cellStyle name="Moneda [0] 6" xfId="289" xr:uid="{00000000-0005-0000-0000-00001B040000}"/>
    <cellStyle name="Moneda [0] 6 2" xfId="290" xr:uid="{00000000-0005-0000-0000-00001C040000}"/>
    <cellStyle name="Moneda [0] 7" xfId="291" xr:uid="{00000000-0005-0000-0000-00001D040000}"/>
    <cellStyle name="Moneda [0] 7 2" xfId="292" xr:uid="{00000000-0005-0000-0000-00001E040000}"/>
    <cellStyle name="Moneda [0] 8" xfId="293" xr:uid="{00000000-0005-0000-0000-00001F040000}"/>
    <cellStyle name="Moneda [0] 8 2" xfId="294" xr:uid="{00000000-0005-0000-0000-000020040000}"/>
    <cellStyle name="Moneda [0] 9" xfId="295" xr:uid="{00000000-0005-0000-0000-000021040000}"/>
    <cellStyle name="Moneda [0] 9 2" xfId="296" xr:uid="{00000000-0005-0000-0000-000022040000}"/>
    <cellStyle name="Moneda 10" xfId="297" xr:uid="{00000000-0005-0000-0000-000023040000}"/>
    <cellStyle name="Moneda 10 10" xfId="298" xr:uid="{00000000-0005-0000-0000-000024040000}"/>
    <cellStyle name="Moneda 10 11" xfId="299" xr:uid="{00000000-0005-0000-0000-000025040000}"/>
    <cellStyle name="Moneda 10 2" xfId="300" xr:uid="{00000000-0005-0000-0000-000026040000}"/>
    <cellStyle name="Moneda 10 2 2" xfId="301" xr:uid="{00000000-0005-0000-0000-000027040000}"/>
    <cellStyle name="Moneda 10 2 2 2" xfId="302" xr:uid="{00000000-0005-0000-0000-000028040000}"/>
    <cellStyle name="Moneda 10 2 2 2 2" xfId="303" xr:uid="{00000000-0005-0000-0000-000029040000}"/>
    <cellStyle name="Moneda 10 2 2 2 2 2" xfId="304" xr:uid="{00000000-0005-0000-0000-00002A040000}"/>
    <cellStyle name="Moneda 10 2 2 2 3" xfId="305" xr:uid="{00000000-0005-0000-0000-00002B040000}"/>
    <cellStyle name="Moneda 10 2 2 2 3 2" xfId="306" xr:uid="{00000000-0005-0000-0000-00002C040000}"/>
    <cellStyle name="Moneda 10 2 2 2 4" xfId="307" xr:uid="{00000000-0005-0000-0000-00002D040000}"/>
    <cellStyle name="Moneda 10 2 2 2 4 2" xfId="308" xr:uid="{00000000-0005-0000-0000-00002E040000}"/>
    <cellStyle name="Moneda 10 2 2 2 5" xfId="309" xr:uid="{00000000-0005-0000-0000-00002F040000}"/>
    <cellStyle name="Moneda 10 2 2 3" xfId="310" xr:uid="{00000000-0005-0000-0000-000030040000}"/>
    <cellStyle name="Moneda 10 2 2 3 2" xfId="311" xr:uid="{00000000-0005-0000-0000-000031040000}"/>
    <cellStyle name="Moneda 10 2 2 4" xfId="312" xr:uid="{00000000-0005-0000-0000-000032040000}"/>
    <cellStyle name="Moneda 10 2 2 4 2" xfId="313" xr:uid="{00000000-0005-0000-0000-000033040000}"/>
    <cellStyle name="Moneda 10 2 2 5" xfId="314" xr:uid="{00000000-0005-0000-0000-000034040000}"/>
    <cellStyle name="Moneda 10 2 2 5 2" xfId="315" xr:uid="{00000000-0005-0000-0000-000035040000}"/>
    <cellStyle name="Moneda 10 2 2 6" xfId="316" xr:uid="{00000000-0005-0000-0000-000036040000}"/>
    <cellStyle name="Moneda 10 2 3" xfId="317" xr:uid="{00000000-0005-0000-0000-000037040000}"/>
    <cellStyle name="Moneda 10 2 3 2" xfId="318" xr:uid="{00000000-0005-0000-0000-000038040000}"/>
    <cellStyle name="Moneda 10 2 3 2 2" xfId="319" xr:uid="{00000000-0005-0000-0000-000039040000}"/>
    <cellStyle name="Moneda 10 2 3 3" xfId="320" xr:uid="{00000000-0005-0000-0000-00003A040000}"/>
    <cellStyle name="Moneda 10 2 3 3 2" xfId="321" xr:uid="{00000000-0005-0000-0000-00003B040000}"/>
    <cellStyle name="Moneda 10 2 3 4" xfId="322" xr:uid="{00000000-0005-0000-0000-00003C040000}"/>
    <cellStyle name="Moneda 10 2 3 4 2" xfId="323" xr:uid="{00000000-0005-0000-0000-00003D040000}"/>
    <cellStyle name="Moneda 10 2 3 5" xfId="324" xr:uid="{00000000-0005-0000-0000-00003E040000}"/>
    <cellStyle name="Moneda 10 2 4" xfId="325" xr:uid="{00000000-0005-0000-0000-00003F040000}"/>
    <cellStyle name="Moneda 10 2 4 2" xfId="326" xr:uid="{00000000-0005-0000-0000-000040040000}"/>
    <cellStyle name="Moneda 10 2 5" xfId="327" xr:uid="{00000000-0005-0000-0000-000041040000}"/>
    <cellStyle name="Moneda 10 2 5 2" xfId="328" xr:uid="{00000000-0005-0000-0000-000042040000}"/>
    <cellStyle name="Moneda 10 2 6" xfId="329" xr:uid="{00000000-0005-0000-0000-000043040000}"/>
    <cellStyle name="Moneda 10 2 6 2" xfId="330" xr:uid="{00000000-0005-0000-0000-000044040000}"/>
    <cellStyle name="Moneda 10 2 7" xfId="331" xr:uid="{00000000-0005-0000-0000-000045040000}"/>
    <cellStyle name="Moneda 10 2 8" xfId="332" xr:uid="{00000000-0005-0000-0000-000046040000}"/>
    <cellStyle name="Moneda 10 3" xfId="333" xr:uid="{00000000-0005-0000-0000-000047040000}"/>
    <cellStyle name="Moneda 10 3 2" xfId="334" xr:uid="{00000000-0005-0000-0000-000048040000}"/>
    <cellStyle name="Moneda 10 3 2 2" xfId="335" xr:uid="{00000000-0005-0000-0000-000049040000}"/>
    <cellStyle name="Moneda 10 3 2 2 2" xfId="336" xr:uid="{00000000-0005-0000-0000-00004A040000}"/>
    <cellStyle name="Moneda 10 3 2 2 2 2" xfId="337" xr:uid="{00000000-0005-0000-0000-00004B040000}"/>
    <cellStyle name="Moneda 10 3 2 2 3" xfId="338" xr:uid="{00000000-0005-0000-0000-00004C040000}"/>
    <cellStyle name="Moneda 10 3 2 2 3 2" xfId="339" xr:uid="{00000000-0005-0000-0000-00004D040000}"/>
    <cellStyle name="Moneda 10 3 2 2 4" xfId="340" xr:uid="{00000000-0005-0000-0000-00004E040000}"/>
    <cellStyle name="Moneda 10 3 2 2 4 2" xfId="341" xr:uid="{00000000-0005-0000-0000-00004F040000}"/>
    <cellStyle name="Moneda 10 3 2 2 5" xfId="342" xr:uid="{00000000-0005-0000-0000-000050040000}"/>
    <cellStyle name="Moneda 10 3 2 3" xfId="343" xr:uid="{00000000-0005-0000-0000-000051040000}"/>
    <cellStyle name="Moneda 10 3 2 3 2" xfId="344" xr:uid="{00000000-0005-0000-0000-000052040000}"/>
    <cellStyle name="Moneda 10 3 2 4" xfId="345" xr:uid="{00000000-0005-0000-0000-000053040000}"/>
    <cellStyle name="Moneda 10 3 2 4 2" xfId="346" xr:uid="{00000000-0005-0000-0000-000054040000}"/>
    <cellStyle name="Moneda 10 3 2 5" xfId="347" xr:uid="{00000000-0005-0000-0000-000055040000}"/>
    <cellStyle name="Moneda 10 3 2 5 2" xfId="348" xr:uid="{00000000-0005-0000-0000-000056040000}"/>
    <cellStyle name="Moneda 10 3 2 6" xfId="349" xr:uid="{00000000-0005-0000-0000-000057040000}"/>
    <cellStyle name="Moneda 10 3 3" xfId="350" xr:uid="{00000000-0005-0000-0000-000058040000}"/>
    <cellStyle name="Moneda 10 3 3 2" xfId="351" xr:uid="{00000000-0005-0000-0000-000059040000}"/>
    <cellStyle name="Moneda 10 3 3 2 2" xfId="352" xr:uid="{00000000-0005-0000-0000-00005A040000}"/>
    <cellStyle name="Moneda 10 3 3 3" xfId="353" xr:uid="{00000000-0005-0000-0000-00005B040000}"/>
    <cellStyle name="Moneda 10 3 3 3 2" xfId="354" xr:uid="{00000000-0005-0000-0000-00005C040000}"/>
    <cellStyle name="Moneda 10 3 3 4" xfId="355" xr:uid="{00000000-0005-0000-0000-00005D040000}"/>
    <cellStyle name="Moneda 10 3 3 4 2" xfId="356" xr:uid="{00000000-0005-0000-0000-00005E040000}"/>
    <cellStyle name="Moneda 10 3 3 5" xfId="357" xr:uid="{00000000-0005-0000-0000-00005F040000}"/>
    <cellStyle name="Moneda 10 3 4" xfId="358" xr:uid="{00000000-0005-0000-0000-000060040000}"/>
    <cellStyle name="Moneda 10 3 4 2" xfId="359" xr:uid="{00000000-0005-0000-0000-000061040000}"/>
    <cellStyle name="Moneda 10 3 5" xfId="360" xr:uid="{00000000-0005-0000-0000-000062040000}"/>
    <cellStyle name="Moneda 10 3 5 2" xfId="361" xr:uid="{00000000-0005-0000-0000-000063040000}"/>
    <cellStyle name="Moneda 10 3 6" xfId="362" xr:uid="{00000000-0005-0000-0000-000064040000}"/>
    <cellStyle name="Moneda 10 3 6 2" xfId="363" xr:uid="{00000000-0005-0000-0000-000065040000}"/>
    <cellStyle name="Moneda 10 3 7" xfId="364" xr:uid="{00000000-0005-0000-0000-000066040000}"/>
    <cellStyle name="Moneda 10 4" xfId="365" xr:uid="{00000000-0005-0000-0000-000067040000}"/>
    <cellStyle name="Moneda 10 4 2" xfId="366" xr:uid="{00000000-0005-0000-0000-000068040000}"/>
    <cellStyle name="Moneda 10 4 2 2" xfId="367" xr:uid="{00000000-0005-0000-0000-000069040000}"/>
    <cellStyle name="Moneda 10 4 2 2 2" xfId="368" xr:uid="{00000000-0005-0000-0000-00006A040000}"/>
    <cellStyle name="Moneda 10 4 2 2 2 2" xfId="369" xr:uid="{00000000-0005-0000-0000-00006B040000}"/>
    <cellStyle name="Moneda 10 4 2 2 3" xfId="370" xr:uid="{00000000-0005-0000-0000-00006C040000}"/>
    <cellStyle name="Moneda 10 4 2 2 3 2" xfId="371" xr:uid="{00000000-0005-0000-0000-00006D040000}"/>
    <cellStyle name="Moneda 10 4 2 2 4" xfId="372" xr:uid="{00000000-0005-0000-0000-00006E040000}"/>
    <cellStyle name="Moneda 10 4 2 2 4 2" xfId="373" xr:uid="{00000000-0005-0000-0000-00006F040000}"/>
    <cellStyle name="Moneda 10 4 2 2 5" xfId="374" xr:uid="{00000000-0005-0000-0000-000070040000}"/>
    <cellStyle name="Moneda 10 4 2 3" xfId="375" xr:uid="{00000000-0005-0000-0000-000071040000}"/>
    <cellStyle name="Moneda 10 4 2 3 2" xfId="376" xr:uid="{00000000-0005-0000-0000-000072040000}"/>
    <cellStyle name="Moneda 10 4 2 4" xfId="377" xr:uid="{00000000-0005-0000-0000-000073040000}"/>
    <cellStyle name="Moneda 10 4 2 4 2" xfId="378" xr:uid="{00000000-0005-0000-0000-000074040000}"/>
    <cellStyle name="Moneda 10 4 2 5" xfId="379" xr:uid="{00000000-0005-0000-0000-000075040000}"/>
    <cellStyle name="Moneda 10 4 2 5 2" xfId="380" xr:uid="{00000000-0005-0000-0000-000076040000}"/>
    <cellStyle name="Moneda 10 4 2 6" xfId="381" xr:uid="{00000000-0005-0000-0000-000077040000}"/>
    <cellStyle name="Moneda 10 4 3" xfId="382" xr:uid="{00000000-0005-0000-0000-000078040000}"/>
    <cellStyle name="Moneda 10 4 3 2" xfId="383" xr:uid="{00000000-0005-0000-0000-000079040000}"/>
    <cellStyle name="Moneda 10 4 3 2 2" xfId="384" xr:uid="{00000000-0005-0000-0000-00007A040000}"/>
    <cellStyle name="Moneda 10 4 3 3" xfId="385" xr:uid="{00000000-0005-0000-0000-00007B040000}"/>
    <cellStyle name="Moneda 10 4 3 3 2" xfId="386" xr:uid="{00000000-0005-0000-0000-00007C040000}"/>
    <cellStyle name="Moneda 10 4 3 4" xfId="387" xr:uid="{00000000-0005-0000-0000-00007D040000}"/>
    <cellStyle name="Moneda 10 4 3 4 2" xfId="388" xr:uid="{00000000-0005-0000-0000-00007E040000}"/>
    <cellStyle name="Moneda 10 4 3 5" xfId="389" xr:uid="{00000000-0005-0000-0000-00007F040000}"/>
    <cellStyle name="Moneda 10 4 4" xfId="390" xr:uid="{00000000-0005-0000-0000-000080040000}"/>
    <cellStyle name="Moneda 10 4 4 2" xfId="391" xr:uid="{00000000-0005-0000-0000-000081040000}"/>
    <cellStyle name="Moneda 10 4 5" xfId="392" xr:uid="{00000000-0005-0000-0000-000082040000}"/>
    <cellStyle name="Moneda 10 4 5 2" xfId="393" xr:uid="{00000000-0005-0000-0000-000083040000}"/>
    <cellStyle name="Moneda 10 4 6" xfId="394" xr:uid="{00000000-0005-0000-0000-000084040000}"/>
    <cellStyle name="Moneda 10 4 6 2" xfId="395" xr:uid="{00000000-0005-0000-0000-000085040000}"/>
    <cellStyle name="Moneda 10 4 7" xfId="396" xr:uid="{00000000-0005-0000-0000-000086040000}"/>
    <cellStyle name="Moneda 10 5" xfId="397" xr:uid="{00000000-0005-0000-0000-000087040000}"/>
    <cellStyle name="Moneda 10 5 2" xfId="398" xr:uid="{00000000-0005-0000-0000-000088040000}"/>
    <cellStyle name="Moneda 10 5 2 2" xfId="399" xr:uid="{00000000-0005-0000-0000-000089040000}"/>
    <cellStyle name="Moneda 10 5 2 2 2" xfId="400" xr:uid="{00000000-0005-0000-0000-00008A040000}"/>
    <cellStyle name="Moneda 10 5 2 3" xfId="401" xr:uid="{00000000-0005-0000-0000-00008B040000}"/>
    <cellStyle name="Moneda 10 5 2 3 2" xfId="402" xr:uid="{00000000-0005-0000-0000-00008C040000}"/>
    <cellStyle name="Moneda 10 5 2 4" xfId="403" xr:uid="{00000000-0005-0000-0000-00008D040000}"/>
    <cellStyle name="Moneda 10 5 2 4 2" xfId="404" xr:uid="{00000000-0005-0000-0000-00008E040000}"/>
    <cellStyle name="Moneda 10 5 2 5" xfId="405" xr:uid="{00000000-0005-0000-0000-00008F040000}"/>
    <cellStyle name="Moneda 10 5 3" xfId="406" xr:uid="{00000000-0005-0000-0000-000090040000}"/>
    <cellStyle name="Moneda 10 5 3 2" xfId="407" xr:uid="{00000000-0005-0000-0000-000091040000}"/>
    <cellStyle name="Moneda 10 5 4" xfId="408" xr:uid="{00000000-0005-0000-0000-000092040000}"/>
    <cellStyle name="Moneda 10 5 4 2" xfId="409" xr:uid="{00000000-0005-0000-0000-000093040000}"/>
    <cellStyle name="Moneda 10 5 5" xfId="410" xr:uid="{00000000-0005-0000-0000-000094040000}"/>
    <cellStyle name="Moneda 10 5 5 2" xfId="411" xr:uid="{00000000-0005-0000-0000-000095040000}"/>
    <cellStyle name="Moneda 10 5 6" xfId="412" xr:uid="{00000000-0005-0000-0000-000096040000}"/>
    <cellStyle name="Moneda 10 6" xfId="413" xr:uid="{00000000-0005-0000-0000-000097040000}"/>
    <cellStyle name="Moneda 10 6 2" xfId="414" xr:uid="{00000000-0005-0000-0000-000098040000}"/>
    <cellStyle name="Moneda 10 6 2 2" xfId="415" xr:uid="{00000000-0005-0000-0000-000099040000}"/>
    <cellStyle name="Moneda 10 6 3" xfId="416" xr:uid="{00000000-0005-0000-0000-00009A040000}"/>
    <cellStyle name="Moneda 10 6 3 2" xfId="417" xr:uid="{00000000-0005-0000-0000-00009B040000}"/>
    <cellStyle name="Moneda 10 6 4" xfId="418" xr:uid="{00000000-0005-0000-0000-00009C040000}"/>
    <cellStyle name="Moneda 10 6 4 2" xfId="419" xr:uid="{00000000-0005-0000-0000-00009D040000}"/>
    <cellStyle name="Moneda 10 6 5" xfId="420" xr:uid="{00000000-0005-0000-0000-00009E040000}"/>
    <cellStyle name="Moneda 10 7" xfId="421" xr:uid="{00000000-0005-0000-0000-00009F040000}"/>
    <cellStyle name="Moneda 10 7 2" xfId="422" xr:uid="{00000000-0005-0000-0000-0000A0040000}"/>
    <cellStyle name="Moneda 10 8" xfId="423" xr:uid="{00000000-0005-0000-0000-0000A1040000}"/>
    <cellStyle name="Moneda 10 8 2" xfId="424" xr:uid="{00000000-0005-0000-0000-0000A2040000}"/>
    <cellStyle name="Moneda 10 9" xfId="425" xr:uid="{00000000-0005-0000-0000-0000A3040000}"/>
    <cellStyle name="Moneda 10 9 2" xfId="426" xr:uid="{00000000-0005-0000-0000-0000A4040000}"/>
    <cellStyle name="Moneda 11" xfId="427" xr:uid="{00000000-0005-0000-0000-0000A5040000}"/>
    <cellStyle name="Moneda 11 10" xfId="428" xr:uid="{00000000-0005-0000-0000-0000A6040000}"/>
    <cellStyle name="Moneda 11 11" xfId="429" xr:uid="{00000000-0005-0000-0000-0000A7040000}"/>
    <cellStyle name="Moneda 11 2" xfId="430" xr:uid="{00000000-0005-0000-0000-0000A8040000}"/>
    <cellStyle name="Moneda 11 2 2" xfId="431" xr:uid="{00000000-0005-0000-0000-0000A9040000}"/>
    <cellStyle name="Moneda 11 2 2 2" xfId="432" xr:uid="{00000000-0005-0000-0000-0000AA040000}"/>
    <cellStyle name="Moneda 11 2 2 2 2" xfId="433" xr:uid="{00000000-0005-0000-0000-0000AB040000}"/>
    <cellStyle name="Moneda 11 2 2 2 2 2" xfId="434" xr:uid="{00000000-0005-0000-0000-0000AC040000}"/>
    <cellStyle name="Moneda 11 2 2 2 3" xfId="435" xr:uid="{00000000-0005-0000-0000-0000AD040000}"/>
    <cellStyle name="Moneda 11 2 2 2 3 2" xfId="436" xr:uid="{00000000-0005-0000-0000-0000AE040000}"/>
    <cellStyle name="Moneda 11 2 2 2 4" xfId="437" xr:uid="{00000000-0005-0000-0000-0000AF040000}"/>
    <cellStyle name="Moneda 11 2 2 2 4 2" xfId="438" xr:uid="{00000000-0005-0000-0000-0000B0040000}"/>
    <cellStyle name="Moneda 11 2 2 2 5" xfId="439" xr:uid="{00000000-0005-0000-0000-0000B1040000}"/>
    <cellStyle name="Moneda 11 2 2 3" xfId="440" xr:uid="{00000000-0005-0000-0000-0000B2040000}"/>
    <cellStyle name="Moneda 11 2 2 3 2" xfId="441" xr:uid="{00000000-0005-0000-0000-0000B3040000}"/>
    <cellStyle name="Moneda 11 2 2 4" xfId="442" xr:uid="{00000000-0005-0000-0000-0000B4040000}"/>
    <cellStyle name="Moneda 11 2 2 4 2" xfId="443" xr:uid="{00000000-0005-0000-0000-0000B5040000}"/>
    <cellStyle name="Moneda 11 2 2 5" xfId="444" xr:uid="{00000000-0005-0000-0000-0000B6040000}"/>
    <cellStyle name="Moneda 11 2 2 5 2" xfId="445" xr:uid="{00000000-0005-0000-0000-0000B7040000}"/>
    <cellStyle name="Moneda 11 2 2 6" xfId="446" xr:uid="{00000000-0005-0000-0000-0000B8040000}"/>
    <cellStyle name="Moneda 11 2 3" xfId="447" xr:uid="{00000000-0005-0000-0000-0000B9040000}"/>
    <cellStyle name="Moneda 11 2 3 2" xfId="448" xr:uid="{00000000-0005-0000-0000-0000BA040000}"/>
    <cellStyle name="Moneda 11 2 3 2 2" xfId="449" xr:uid="{00000000-0005-0000-0000-0000BB040000}"/>
    <cellStyle name="Moneda 11 2 3 3" xfId="450" xr:uid="{00000000-0005-0000-0000-0000BC040000}"/>
    <cellStyle name="Moneda 11 2 3 3 2" xfId="451" xr:uid="{00000000-0005-0000-0000-0000BD040000}"/>
    <cellStyle name="Moneda 11 2 3 4" xfId="452" xr:uid="{00000000-0005-0000-0000-0000BE040000}"/>
    <cellStyle name="Moneda 11 2 3 4 2" xfId="453" xr:uid="{00000000-0005-0000-0000-0000BF040000}"/>
    <cellStyle name="Moneda 11 2 3 5" xfId="454" xr:uid="{00000000-0005-0000-0000-0000C0040000}"/>
    <cellStyle name="Moneda 11 2 4" xfId="455" xr:uid="{00000000-0005-0000-0000-0000C1040000}"/>
    <cellStyle name="Moneda 11 2 4 2" xfId="456" xr:uid="{00000000-0005-0000-0000-0000C2040000}"/>
    <cellStyle name="Moneda 11 2 5" xfId="457" xr:uid="{00000000-0005-0000-0000-0000C3040000}"/>
    <cellStyle name="Moneda 11 2 5 2" xfId="458" xr:uid="{00000000-0005-0000-0000-0000C4040000}"/>
    <cellStyle name="Moneda 11 2 6" xfId="459" xr:uid="{00000000-0005-0000-0000-0000C5040000}"/>
    <cellStyle name="Moneda 11 2 6 2" xfId="460" xr:uid="{00000000-0005-0000-0000-0000C6040000}"/>
    <cellStyle name="Moneda 11 2 7" xfId="461" xr:uid="{00000000-0005-0000-0000-0000C7040000}"/>
    <cellStyle name="Moneda 11 2 8" xfId="462" xr:uid="{00000000-0005-0000-0000-0000C8040000}"/>
    <cellStyle name="Moneda 11 3" xfId="463" xr:uid="{00000000-0005-0000-0000-0000C9040000}"/>
    <cellStyle name="Moneda 11 3 2" xfId="464" xr:uid="{00000000-0005-0000-0000-0000CA040000}"/>
    <cellStyle name="Moneda 11 3 2 2" xfId="465" xr:uid="{00000000-0005-0000-0000-0000CB040000}"/>
    <cellStyle name="Moneda 11 3 2 2 2" xfId="466" xr:uid="{00000000-0005-0000-0000-0000CC040000}"/>
    <cellStyle name="Moneda 11 3 2 2 2 2" xfId="467" xr:uid="{00000000-0005-0000-0000-0000CD040000}"/>
    <cellStyle name="Moneda 11 3 2 2 3" xfId="468" xr:uid="{00000000-0005-0000-0000-0000CE040000}"/>
    <cellStyle name="Moneda 11 3 2 2 3 2" xfId="469" xr:uid="{00000000-0005-0000-0000-0000CF040000}"/>
    <cellStyle name="Moneda 11 3 2 2 4" xfId="470" xr:uid="{00000000-0005-0000-0000-0000D0040000}"/>
    <cellStyle name="Moneda 11 3 2 2 4 2" xfId="471" xr:uid="{00000000-0005-0000-0000-0000D1040000}"/>
    <cellStyle name="Moneda 11 3 2 2 5" xfId="472" xr:uid="{00000000-0005-0000-0000-0000D2040000}"/>
    <cellStyle name="Moneda 11 3 2 3" xfId="473" xr:uid="{00000000-0005-0000-0000-0000D3040000}"/>
    <cellStyle name="Moneda 11 3 2 3 2" xfId="474" xr:uid="{00000000-0005-0000-0000-0000D4040000}"/>
    <cellStyle name="Moneda 11 3 2 4" xfId="475" xr:uid="{00000000-0005-0000-0000-0000D5040000}"/>
    <cellStyle name="Moneda 11 3 2 4 2" xfId="476" xr:uid="{00000000-0005-0000-0000-0000D6040000}"/>
    <cellStyle name="Moneda 11 3 2 5" xfId="477" xr:uid="{00000000-0005-0000-0000-0000D7040000}"/>
    <cellStyle name="Moneda 11 3 2 5 2" xfId="478" xr:uid="{00000000-0005-0000-0000-0000D8040000}"/>
    <cellStyle name="Moneda 11 3 2 6" xfId="479" xr:uid="{00000000-0005-0000-0000-0000D9040000}"/>
    <cellStyle name="Moneda 11 3 3" xfId="480" xr:uid="{00000000-0005-0000-0000-0000DA040000}"/>
    <cellStyle name="Moneda 11 3 3 2" xfId="481" xr:uid="{00000000-0005-0000-0000-0000DB040000}"/>
    <cellStyle name="Moneda 11 3 3 2 2" xfId="482" xr:uid="{00000000-0005-0000-0000-0000DC040000}"/>
    <cellStyle name="Moneda 11 3 3 3" xfId="483" xr:uid="{00000000-0005-0000-0000-0000DD040000}"/>
    <cellStyle name="Moneda 11 3 3 3 2" xfId="484" xr:uid="{00000000-0005-0000-0000-0000DE040000}"/>
    <cellStyle name="Moneda 11 3 3 4" xfId="485" xr:uid="{00000000-0005-0000-0000-0000DF040000}"/>
    <cellStyle name="Moneda 11 3 3 4 2" xfId="486" xr:uid="{00000000-0005-0000-0000-0000E0040000}"/>
    <cellStyle name="Moneda 11 3 3 5" xfId="487" xr:uid="{00000000-0005-0000-0000-0000E1040000}"/>
    <cellStyle name="Moneda 11 3 4" xfId="488" xr:uid="{00000000-0005-0000-0000-0000E2040000}"/>
    <cellStyle name="Moneda 11 3 4 2" xfId="489" xr:uid="{00000000-0005-0000-0000-0000E3040000}"/>
    <cellStyle name="Moneda 11 3 5" xfId="490" xr:uid="{00000000-0005-0000-0000-0000E4040000}"/>
    <cellStyle name="Moneda 11 3 5 2" xfId="491" xr:uid="{00000000-0005-0000-0000-0000E5040000}"/>
    <cellStyle name="Moneda 11 3 6" xfId="492" xr:uid="{00000000-0005-0000-0000-0000E6040000}"/>
    <cellStyle name="Moneda 11 3 6 2" xfId="493" xr:uid="{00000000-0005-0000-0000-0000E7040000}"/>
    <cellStyle name="Moneda 11 3 7" xfId="494" xr:uid="{00000000-0005-0000-0000-0000E8040000}"/>
    <cellStyle name="Moneda 11 4" xfId="495" xr:uid="{00000000-0005-0000-0000-0000E9040000}"/>
    <cellStyle name="Moneda 11 4 2" xfId="496" xr:uid="{00000000-0005-0000-0000-0000EA040000}"/>
    <cellStyle name="Moneda 11 4 2 2" xfId="497" xr:uid="{00000000-0005-0000-0000-0000EB040000}"/>
    <cellStyle name="Moneda 11 4 2 2 2" xfId="498" xr:uid="{00000000-0005-0000-0000-0000EC040000}"/>
    <cellStyle name="Moneda 11 4 2 2 2 2" xfId="499" xr:uid="{00000000-0005-0000-0000-0000ED040000}"/>
    <cellStyle name="Moneda 11 4 2 2 3" xfId="500" xr:uid="{00000000-0005-0000-0000-0000EE040000}"/>
    <cellStyle name="Moneda 11 4 2 2 3 2" xfId="501" xr:uid="{00000000-0005-0000-0000-0000EF040000}"/>
    <cellStyle name="Moneda 11 4 2 2 4" xfId="502" xr:uid="{00000000-0005-0000-0000-0000F0040000}"/>
    <cellStyle name="Moneda 11 4 2 2 4 2" xfId="503" xr:uid="{00000000-0005-0000-0000-0000F1040000}"/>
    <cellStyle name="Moneda 11 4 2 2 5" xfId="504" xr:uid="{00000000-0005-0000-0000-0000F2040000}"/>
    <cellStyle name="Moneda 11 4 2 3" xfId="505" xr:uid="{00000000-0005-0000-0000-0000F3040000}"/>
    <cellStyle name="Moneda 11 4 2 3 2" xfId="506" xr:uid="{00000000-0005-0000-0000-0000F4040000}"/>
    <cellStyle name="Moneda 11 4 2 4" xfId="507" xr:uid="{00000000-0005-0000-0000-0000F5040000}"/>
    <cellStyle name="Moneda 11 4 2 4 2" xfId="508" xr:uid="{00000000-0005-0000-0000-0000F6040000}"/>
    <cellStyle name="Moneda 11 4 2 5" xfId="509" xr:uid="{00000000-0005-0000-0000-0000F7040000}"/>
    <cellStyle name="Moneda 11 4 2 5 2" xfId="510" xr:uid="{00000000-0005-0000-0000-0000F8040000}"/>
    <cellStyle name="Moneda 11 4 2 6" xfId="511" xr:uid="{00000000-0005-0000-0000-0000F9040000}"/>
    <cellStyle name="Moneda 11 4 3" xfId="512" xr:uid="{00000000-0005-0000-0000-0000FA040000}"/>
    <cellStyle name="Moneda 11 4 3 2" xfId="513" xr:uid="{00000000-0005-0000-0000-0000FB040000}"/>
    <cellStyle name="Moneda 11 4 3 2 2" xfId="514" xr:uid="{00000000-0005-0000-0000-0000FC040000}"/>
    <cellStyle name="Moneda 11 4 3 3" xfId="515" xr:uid="{00000000-0005-0000-0000-0000FD040000}"/>
    <cellStyle name="Moneda 11 4 3 3 2" xfId="516" xr:uid="{00000000-0005-0000-0000-0000FE040000}"/>
    <cellStyle name="Moneda 11 4 3 4" xfId="517" xr:uid="{00000000-0005-0000-0000-0000FF040000}"/>
    <cellStyle name="Moneda 11 4 3 4 2" xfId="518" xr:uid="{00000000-0005-0000-0000-000000050000}"/>
    <cellStyle name="Moneda 11 4 3 5" xfId="519" xr:uid="{00000000-0005-0000-0000-000001050000}"/>
    <cellStyle name="Moneda 11 4 4" xfId="520" xr:uid="{00000000-0005-0000-0000-000002050000}"/>
    <cellStyle name="Moneda 11 4 4 2" xfId="521" xr:uid="{00000000-0005-0000-0000-000003050000}"/>
    <cellStyle name="Moneda 11 4 5" xfId="522" xr:uid="{00000000-0005-0000-0000-000004050000}"/>
    <cellStyle name="Moneda 11 4 5 2" xfId="523" xr:uid="{00000000-0005-0000-0000-000005050000}"/>
    <cellStyle name="Moneda 11 4 6" xfId="524" xr:uid="{00000000-0005-0000-0000-000006050000}"/>
    <cellStyle name="Moneda 11 4 6 2" xfId="525" xr:uid="{00000000-0005-0000-0000-000007050000}"/>
    <cellStyle name="Moneda 11 4 7" xfId="526" xr:uid="{00000000-0005-0000-0000-000008050000}"/>
    <cellStyle name="Moneda 11 5" xfId="527" xr:uid="{00000000-0005-0000-0000-000009050000}"/>
    <cellStyle name="Moneda 11 5 2" xfId="528" xr:uid="{00000000-0005-0000-0000-00000A050000}"/>
    <cellStyle name="Moneda 11 5 2 2" xfId="529" xr:uid="{00000000-0005-0000-0000-00000B050000}"/>
    <cellStyle name="Moneda 11 5 2 2 2" xfId="530" xr:uid="{00000000-0005-0000-0000-00000C050000}"/>
    <cellStyle name="Moneda 11 5 2 3" xfId="531" xr:uid="{00000000-0005-0000-0000-00000D050000}"/>
    <cellStyle name="Moneda 11 5 2 3 2" xfId="532" xr:uid="{00000000-0005-0000-0000-00000E050000}"/>
    <cellStyle name="Moneda 11 5 2 4" xfId="533" xr:uid="{00000000-0005-0000-0000-00000F050000}"/>
    <cellStyle name="Moneda 11 5 2 4 2" xfId="534" xr:uid="{00000000-0005-0000-0000-000010050000}"/>
    <cellStyle name="Moneda 11 5 2 5" xfId="535" xr:uid="{00000000-0005-0000-0000-000011050000}"/>
    <cellStyle name="Moneda 11 5 3" xfId="536" xr:uid="{00000000-0005-0000-0000-000012050000}"/>
    <cellStyle name="Moneda 11 5 3 2" xfId="537" xr:uid="{00000000-0005-0000-0000-000013050000}"/>
    <cellStyle name="Moneda 11 5 4" xfId="538" xr:uid="{00000000-0005-0000-0000-000014050000}"/>
    <cellStyle name="Moneda 11 5 4 2" xfId="539" xr:uid="{00000000-0005-0000-0000-000015050000}"/>
    <cellStyle name="Moneda 11 5 5" xfId="540" xr:uid="{00000000-0005-0000-0000-000016050000}"/>
    <cellStyle name="Moneda 11 5 5 2" xfId="541" xr:uid="{00000000-0005-0000-0000-000017050000}"/>
    <cellStyle name="Moneda 11 5 6" xfId="542" xr:uid="{00000000-0005-0000-0000-000018050000}"/>
    <cellStyle name="Moneda 11 6" xfId="543" xr:uid="{00000000-0005-0000-0000-000019050000}"/>
    <cellStyle name="Moneda 11 6 2" xfId="544" xr:uid="{00000000-0005-0000-0000-00001A050000}"/>
    <cellStyle name="Moneda 11 6 2 2" xfId="545" xr:uid="{00000000-0005-0000-0000-00001B050000}"/>
    <cellStyle name="Moneda 11 6 3" xfId="546" xr:uid="{00000000-0005-0000-0000-00001C050000}"/>
    <cellStyle name="Moneda 11 6 3 2" xfId="547" xr:uid="{00000000-0005-0000-0000-00001D050000}"/>
    <cellStyle name="Moneda 11 6 4" xfId="548" xr:uid="{00000000-0005-0000-0000-00001E050000}"/>
    <cellStyle name="Moneda 11 6 4 2" xfId="549" xr:uid="{00000000-0005-0000-0000-00001F050000}"/>
    <cellStyle name="Moneda 11 6 5" xfId="550" xr:uid="{00000000-0005-0000-0000-000020050000}"/>
    <cellStyle name="Moneda 11 7" xfId="551" xr:uid="{00000000-0005-0000-0000-000021050000}"/>
    <cellStyle name="Moneda 11 7 2" xfId="552" xr:uid="{00000000-0005-0000-0000-000022050000}"/>
    <cellStyle name="Moneda 11 8" xfId="553" xr:uid="{00000000-0005-0000-0000-000023050000}"/>
    <cellStyle name="Moneda 11 8 2" xfId="554" xr:uid="{00000000-0005-0000-0000-000024050000}"/>
    <cellStyle name="Moneda 11 9" xfId="555" xr:uid="{00000000-0005-0000-0000-000025050000}"/>
    <cellStyle name="Moneda 11 9 2" xfId="556" xr:uid="{00000000-0005-0000-0000-000026050000}"/>
    <cellStyle name="Moneda 12" xfId="557" xr:uid="{00000000-0005-0000-0000-000027050000}"/>
    <cellStyle name="Moneda 12 2" xfId="558" xr:uid="{00000000-0005-0000-0000-000028050000}"/>
    <cellStyle name="Moneda 12 2 2" xfId="559" xr:uid="{00000000-0005-0000-0000-000029050000}"/>
    <cellStyle name="Moneda 12 2 2 2" xfId="560" xr:uid="{00000000-0005-0000-0000-00002A050000}"/>
    <cellStyle name="Moneda 12 2 2 2 2" xfId="561" xr:uid="{00000000-0005-0000-0000-00002B050000}"/>
    <cellStyle name="Moneda 12 2 2 2 2 2" xfId="562" xr:uid="{00000000-0005-0000-0000-00002C050000}"/>
    <cellStyle name="Moneda 12 2 2 2 3" xfId="563" xr:uid="{00000000-0005-0000-0000-00002D050000}"/>
    <cellStyle name="Moneda 12 2 2 2 3 2" xfId="564" xr:uid="{00000000-0005-0000-0000-00002E050000}"/>
    <cellStyle name="Moneda 12 2 2 2 4" xfId="565" xr:uid="{00000000-0005-0000-0000-00002F050000}"/>
    <cellStyle name="Moneda 12 2 2 2 4 2" xfId="566" xr:uid="{00000000-0005-0000-0000-000030050000}"/>
    <cellStyle name="Moneda 12 2 2 2 5" xfId="567" xr:uid="{00000000-0005-0000-0000-000031050000}"/>
    <cellStyle name="Moneda 12 2 2 3" xfId="568" xr:uid="{00000000-0005-0000-0000-000032050000}"/>
    <cellStyle name="Moneda 12 2 2 3 2" xfId="569" xr:uid="{00000000-0005-0000-0000-000033050000}"/>
    <cellStyle name="Moneda 12 2 2 4" xfId="570" xr:uid="{00000000-0005-0000-0000-000034050000}"/>
    <cellStyle name="Moneda 12 2 2 4 2" xfId="571" xr:uid="{00000000-0005-0000-0000-000035050000}"/>
    <cellStyle name="Moneda 12 2 2 5" xfId="572" xr:uid="{00000000-0005-0000-0000-000036050000}"/>
    <cellStyle name="Moneda 12 2 2 5 2" xfId="573" xr:uid="{00000000-0005-0000-0000-000037050000}"/>
    <cellStyle name="Moneda 12 2 2 6" xfId="574" xr:uid="{00000000-0005-0000-0000-000038050000}"/>
    <cellStyle name="Moneda 12 2 3" xfId="575" xr:uid="{00000000-0005-0000-0000-000039050000}"/>
    <cellStyle name="Moneda 12 2 3 2" xfId="576" xr:uid="{00000000-0005-0000-0000-00003A050000}"/>
    <cellStyle name="Moneda 12 2 3 2 2" xfId="577" xr:uid="{00000000-0005-0000-0000-00003B050000}"/>
    <cellStyle name="Moneda 12 2 3 3" xfId="578" xr:uid="{00000000-0005-0000-0000-00003C050000}"/>
    <cellStyle name="Moneda 12 2 3 3 2" xfId="579" xr:uid="{00000000-0005-0000-0000-00003D050000}"/>
    <cellStyle name="Moneda 12 2 3 4" xfId="580" xr:uid="{00000000-0005-0000-0000-00003E050000}"/>
    <cellStyle name="Moneda 12 2 3 4 2" xfId="581" xr:uid="{00000000-0005-0000-0000-00003F050000}"/>
    <cellStyle name="Moneda 12 2 3 5" xfId="582" xr:uid="{00000000-0005-0000-0000-000040050000}"/>
    <cellStyle name="Moneda 12 2 4" xfId="583" xr:uid="{00000000-0005-0000-0000-000041050000}"/>
    <cellStyle name="Moneda 12 2 4 2" xfId="584" xr:uid="{00000000-0005-0000-0000-000042050000}"/>
    <cellStyle name="Moneda 12 2 5" xfId="585" xr:uid="{00000000-0005-0000-0000-000043050000}"/>
    <cellStyle name="Moneda 12 2 5 2" xfId="586" xr:uid="{00000000-0005-0000-0000-000044050000}"/>
    <cellStyle name="Moneda 12 2 6" xfId="587" xr:uid="{00000000-0005-0000-0000-000045050000}"/>
    <cellStyle name="Moneda 12 2 6 2" xfId="588" xr:uid="{00000000-0005-0000-0000-000046050000}"/>
    <cellStyle name="Moneda 12 2 7" xfId="589" xr:uid="{00000000-0005-0000-0000-000047050000}"/>
    <cellStyle name="Moneda 12 2 8" xfId="590" xr:uid="{00000000-0005-0000-0000-000048050000}"/>
    <cellStyle name="Moneda 12 3" xfId="591" xr:uid="{00000000-0005-0000-0000-000049050000}"/>
    <cellStyle name="Moneda 12 3 2" xfId="592" xr:uid="{00000000-0005-0000-0000-00004A050000}"/>
    <cellStyle name="Moneda 12 3 2 2" xfId="593" xr:uid="{00000000-0005-0000-0000-00004B050000}"/>
    <cellStyle name="Moneda 12 3 2 2 2" xfId="594" xr:uid="{00000000-0005-0000-0000-00004C050000}"/>
    <cellStyle name="Moneda 12 3 2 3" xfId="595" xr:uid="{00000000-0005-0000-0000-00004D050000}"/>
    <cellStyle name="Moneda 12 3 2 3 2" xfId="596" xr:uid="{00000000-0005-0000-0000-00004E050000}"/>
    <cellStyle name="Moneda 12 3 2 4" xfId="597" xr:uid="{00000000-0005-0000-0000-00004F050000}"/>
    <cellStyle name="Moneda 12 3 2 4 2" xfId="598" xr:uid="{00000000-0005-0000-0000-000050050000}"/>
    <cellStyle name="Moneda 12 3 2 5" xfId="599" xr:uid="{00000000-0005-0000-0000-000051050000}"/>
    <cellStyle name="Moneda 12 3 3" xfId="600" xr:uid="{00000000-0005-0000-0000-000052050000}"/>
    <cellStyle name="Moneda 12 3 3 2" xfId="601" xr:uid="{00000000-0005-0000-0000-000053050000}"/>
    <cellStyle name="Moneda 12 3 4" xfId="602" xr:uid="{00000000-0005-0000-0000-000054050000}"/>
    <cellStyle name="Moneda 12 3 4 2" xfId="603" xr:uid="{00000000-0005-0000-0000-000055050000}"/>
    <cellStyle name="Moneda 12 3 5" xfId="604" xr:uid="{00000000-0005-0000-0000-000056050000}"/>
    <cellStyle name="Moneda 12 3 5 2" xfId="605" xr:uid="{00000000-0005-0000-0000-000057050000}"/>
    <cellStyle name="Moneda 12 3 6" xfId="606" xr:uid="{00000000-0005-0000-0000-000058050000}"/>
    <cellStyle name="Moneda 12 4" xfId="607" xr:uid="{00000000-0005-0000-0000-000059050000}"/>
    <cellStyle name="Moneda 12 4 2" xfId="608" xr:uid="{00000000-0005-0000-0000-00005A050000}"/>
    <cellStyle name="Moneda 12 4 2 2" xfId="609" xr:uid="{00000000-0005-0000-0000-00005B050000}"/>
    <cellStyle name="Moneda 12 4 3" xfId="610" xr:uid="{00000000-0005-0000-0000-00005C050000}"/>
    <cellStyle name="Moneda 12 4 3 2" xfId="611" xr:uid="{00000000-0005-0000-0000-00005D050000}"/>
    <cellStyle name="Moneda 12 4 4" xfId="612" xr:uid="{00000000-0005-0000-0000-00005E050000}"/>
    <cellStyle name="Moneda 12 4 4 2" xfId="613" xr:uid="{00000000-0005-0000-0000-00005F050000}"/>
    <cellStyle name="Moneda 12 4 5" xfId="614" xr:uid="{00000000-0005-0000-0000-000060050000}"/>
    <cellStyle name="Moneda 12 5" xfId="615" xr:uid="{00000000-0005-0000-0000-000061050000}"/>
    <cellStyle name="Moneda 12 5 2" xfId="616" xr:uid="{00000000-0005-0000-0000-000062050000}"/>
    <cellStyle name="Moneda 12 6" xfId="617" xr:uid="{00000000-0005-0000-0000-000063050000}"/>
    <cellStyle name="Moneda 12 6 2" xfId="618" xr:uid="{00000000-0005-0000-0000-000064050000}"/>
    <cellStyle name="Moneda 12 7" xfId="619" xr:uid="{00000000-0005-0000-0000-000065050000}"/>
    <cellStyle name="Moneda 12 7 2" xfId="620" xr:uid="{00000000-0005-0000-0000-000066050000}"/>
    <cellStyle name="Moneda 12 8" xfId="621" xr:uid="{00000000-0005-0000-0000-000067050000}"/>
    <cellStyle name="Moneda 12 9" xfId="622" xr:uid="{00000000-0005-0000-0000-000068050000}"/>
    <cellStyle name="Moneda 13" xfId="623" xr:uid="{00000000-0005-0000-0000-000069050000}"/>
    <cellStyle name="Moneda 13 10" xfId="624" xr:uid="{00000000-0005-0000-0000-00006A050000}"/>
    <cellStyle name="Moneda 13 2" xfId="625" xr:uid="{00000000-0005-0000-0000-00006B050000}"/>
    <cellStyle name="Moneda 13 2 2" xfId="626" xr:uid="{00000000-0005-0000-0000-00006C050000}"/>
    <cellStyle name="Moneda 13 2 2 2" xfId="627" xr:uid="{00000000-0005-0000-0000-00006D050000}"/>
    <cellStyle name="Moneda 13 2 2 2 2" xfId="628" xr:uid="{00000000-0005-0000-0000-00006E050000}"/>
    <cellStyle name="Moneda 13 2 2 2 2 2" xfId="629" xr:uid="{00000000-0005-0000-0000-00006F050000}"/>
    <cellStyle name="Moneda 13 2 2 2 3" xfId="630" xr:uid="{00000000-0005-0000-0000-000070050000}"/>
    <cellStyle name="Moneda 13 2 2 2 3 2" xfId="631" xr:uid="{00000000-0005-0000-0000-000071050000}"/>
    <cellStyle name="Moneda 13 2 2 2 4" xfId="632" xr:uid="{00000000-0005-0000-0000-000072050000}"/>
    <cellStyle name="Moneda 13 2 2 2 4 2" xfId="633" xr:uid="{00000000-0005-0000-0000-000073050000}"/>
    <cellStyle name="Moneda 13 2 2 2 5" xfId="634" xr:uid="{00000000-0005-0000-0000-000074050000}"/>
    <cellStyle name="Moneda 13 2 2 3" xfId="635" xr:uid="{00000000-0005-0000-0000-000075050000}"/>
    <cellStyle name="Moneda 13 2 2 3 2" xfId="636" xr:uid="{00000000-0005-0000-0000-000076050000}"/>
    <cellStyle name="Moneda 13 2 2 4" xfId="637" xr:uid="{00000000-0005-0000-0000-000077050000}"/>
    <cellStyle name="Moneda 13 2 2 4 2" xfId="638" xr:uid="{00000000-0005-0000-0000-000078050000}"/>
    <cellStyle name="Moneda 13 2 2 5" xfId="639" xr:uid="{00000000-0005-0000-0000-000079050000}"/>
    <cellStyle name="Moneda 13 2 2 5 2" xfId="640" xr:uid="{00000000-0005-0000-0000-00007A050000}"/>
    <cellStyle name="Moneda 13 2 2 6" xfId="641" xr:uid="{00000000-0005-0000-0000-00007B050000}"/>
    <cellStyle name="Moneda 13 2 3" xfId="642" xr:uid="{00000000-0005-0000-0000-00007C050000}"/>
    <cellStyle name="Moneda 13 2 3 2" xfId="643" xr:uid="{00000000-0005-0000-0000-00007D050000}"/>
    <cellStyle name="Moneda 13 2 3 2 2" xfId="644" xr:uid="{00000000-0005-0000-0000-00007E050000}"/>
    <cellStyle name="Moneda 13 2 3 3" xfId="645" xr:uid="{00000000-0005-0000-0000-00007F050000}"/>
    <cellStyle name="Moneda 13 2 3 3 2" xfId="646" xr:uid="{00000000-0005-0000-0000-000080050000}"/>
    <cellStyle name="Moneda 13 2 3 4" xfId="647" xr:uid="{00000000-0005-0000-0000-000081050000}"/>
    <cellStyle name="Moneda 13 2 3 4 2" xfId="648" xr:uid="{00000000-0005-0000-0000-000082050000}"/>
    <cellStyle name="Moneda 13 2 3 5" xfId="649" xr:uid="{00000000-0005-0000-0000-000083050000}"/>
    <cellStyle name="Moneda 13 2 4" xfId="650" xr:uid="{00000000-0005-0000-0000-000084050000}"/>
    <cellStyle name="Moneda 13 2 4 2" xfId="651" xr:uid="{00000000-0005-0000-0000-000085050000}"/>
    <cellStyle name="Moneda 13 2 5" xfId="652" xr:uid="{00000000-0005-0000-0000-000086050000}"/>
    <cellStyle name="Moneda 13 2 5 2" xfId="653" xr:uid="{00000000-0005-0000-0000-000087050000}"/>
    <cellStyle name="Moneda 13 2 6" xfId="654" xr:uid="{00000000-0005-0000-0000-000088050000}"/>
    <cellStyle name="Moneda 13 2 6 2" xfId="655" xr:uid="{00000000-0005-0000-0000-000089050000}"/>
    <cellStyle name="Moneda 13 2 7" xfId="656" xr:uid="{00000000-0005-0000-0000-00008A050000}"/>
    <cellStyle name="Moneda 13 2 8" xfId="657" xr:uid="{00000000-0005-0000-0000-00008B050000}"/>
    <cellStyle name="Moneda 13 3" xfId="658" xr:uid="{00000000-0005-0000-0000-00008C050000}"/>
    <cellStyle name="Moneda 13 3 2" xfId="659" xr:uid="{00000000-0005-0000-0000-00008D050000}"/>
    <cellStyle name="Moneda 13 3 2 2" xfId="660" xr:uid="{00000000-0005-0000-0000-00008E050000}"/>
    <cellStyle name="Moneda 13 3 2 2 2" xfId="661" xr:uid="{00000000-0005-0000-0000-00008F050000}"/>
    <cellStyle name="Moneda 13 3 2 3" xfId="662" xr:uid="{00000000-0005-0000-0000-000090050000}"/>
    <cellStyle name="Moneda 13 3 2 3 2" xfId="663" xr:uid="{00000000-0005-0000-0000-000091050000}"/>
    <cellStyle name="Moneda 13 3 2 4" xfId="664" xr:uid="{00000000-0005-0000-0000-000092050000}"/>
    <cellStyle name="Moneda 13 3 2 4 2" xfId="665" xr:uid="{00000000-0005-0000-0000-000093050000}"/>
    <cellStyle name="Moneda 13 3 2 5" xfId="666" xr:uid="{00000000-0005-0000-0000-000094050000}"/>
    <cellStyle name="Moneda 13 3 3" xfId="667" xr:uid="{00000000-0005-0000-0000-000095050000}"/>
    <cellStyle name="Moneda 13 3 3 2" xfId="668" xr:uid="{00000000-0005-0000-0000-000096050000}"/>
    <cellStyle name="Moneda 13 3 4" xfId="669" xr:uid="{00000000-0005-0000-0000-000097050000}"/>
    <cellStyle name="Moneda 13 3 4 2" xfId="670" xr:uid="{00000000-0005-0000-0000-000098050000}"/>
    <cellStyle name="Moneda 13 3 5" xfId="671" xr:uid="{00000000-0005-0000-0000-000099050000}"/>
    <cellStyle name="Moneda 13 3 5 2" xfId="672" xr:uid="{00000000-0005-0000-0000-00009A050000}"/>
    <cellStyle name="Moneda 13 3 6" xfId="673" xr:uid="{00000000-0005-0000-0000-00009B050000}"/>
    <cellStyle name="Moneda 13 4" xfId="674" xr:uid="{00000000-0005-0000-0000-00009C050000}"/>
    <cellStyle name="Moneda 13 4 2" xfId="675" xr:uid="{00000000-0005-0000-0000-00009D050000}"/>
    <cellStyle name="Moneda 13 4 2 2" xfId="676" xr:uid="{00000000-0005-0000-0000-00009E050000}"/>
    <cellStyle name="Moneda 13 4 3" xfId="677" xr:uid="{00000000-0005-0000-0000-00009F050000}"/>
    <cellStyle name="Moneda 13 4 3 2" xfId="678" xr:uid="{00000000-0005-0000-0000-0000A0050000}"/>
    <cellStyle name="Moneda 13 4 4" xfId="679" xr:uid="{00000000-0005-0000-0000-0000A1050000}"/>
    <cellStyle name="Moneda 13 4 4 2" xfId="680" xr:uid="{00000000-0005-0000-0000-0000A2050000}"/>
    <cellStyle name="Moneda 13 4 5" xfId="681" xr:uid="{00000000-0005-0000-0000-0000A3050000}"/>
    <cellStyle name="Moneda 13 5" xfId="682" xr:uid="{00000000-0005-0000-0000-0000A4050000}"/>
    <cellStyle name="Moneda 13 5 2" xfId="683" xr:uid="{00000000-0005-0000-0000-0000A5050000}"/>
    <cellStyle name="Moneda 13 5 2 2" xfId="684" xr:uid="{00000000-0005-0000-0000-0000A6050000}"/>
    <cellStyle name="Moneda 13 5 3" xfId="685" xr:uid="{00000000-0005-0000-0000-0000A7050000}"/>
    <cellStyle name="Moneda 13 5 3 2" xfId="686" xr:uid="{00000000-0005-0000-0000-0000A8050000}"/>
    <cellStyle name="Moneda 13 5 4" xfId="687" xr:uid="{00000000-0005-0000-0000-0000A9050000}"/>
    <cellStyle name="Moneda 13 5 4 2" xfId="688" xr:uid="{00000000-0005-0000-0000-0000AA050000}"/>
    <cellStyle name="Moneda 13 5 5" xfId="689" xr:uid="{00000000-0005-0000-0000-0000AB050000}"/>
    <cellStyle name="Moneda 13 6" xfId="690" xr:uid="{00000000-0005-0000-0000-0000AC050000}"/>
    <cellStyle name="Moneda 13 6 2" xfId="691" xr:uid="{00000000-0005-0000-0000-0000AD050000}"/>
    <cellStyle name="Moneda 13 7" xfId="692" xr:uid="{00000000-0005-0000-0000-0000AE050000}"/>
    <cellStyle name="Moneda 13 7 2" xfId="693" xr:uid="{00000000-0005-0000-0000-0000AF050000}"/>
    <cellStyle name="Moneda 13 8" xfId="694" xr:uid="{00000000-0005-0000-0000-0000B0050000}"/>
    <cellStyle name="Moneda 13 8 2" xfId="695" xr:uid="{00000000-0005-0000-0000-0000B1050000}"/>
    <cellStyle name="Moneda 13 9" xfId="696" xr:uid="{00000000-0005-0000-0000-0000B2050000}"/>
    <cellStyle name="Moneda 14" xfId="697" xr:uid="{00000000-0005-0000-0000-0000B3050000}"/>
    <cellStyle name="Moneda 14 2" xfId="698" xr:uid="{00000000-0005-0000-0000-0000B4050000}"/>
    <cellStyle name="Moneda 14 2 2" xfId="699" xr:uid="{00000000-0005-0000-0000-0000B5050000}"/>
    <cellStyle name="Moneda 14 2 2 2" xfId="700" xr:uid="{00000000-0005-0000-0000-0000B6050000}"/>
    <cellStyle name="Moneda 14 2 2 2 2" xfId="701" xr:uid="{00000000-0005-0000-0000-0000B7050000}"/>
    <cellStyle name="Moneda 14 2 2 2 2 2" xfId="702" xr:uid="{00000000-0005-0000-0000-0000B8050000}"/>
    <cellStyle name="Moneda 14 2 2 2 3" xfId="703" xr:uid="{00000000-0005-0000-0000-0000B9050000}"/>
    <cellStyle name="Moneda 14 2 2 2 3 2" xfId="704" xr:uid="{00000000-0005-0000-0000-0000BA050000}"/>
    <cellStyle name="Moneda 14 2 2 2 4" xfId="705" xr:uid="{00000000-0005-0000-0000-0000BB050000}"/>
    <cellStyle name="Moneda 14 2 2 2 4 2" xfId="706" xr:uid="{00000000-0005-0000-0000-0000BC050000}"/>
    <cellStyle name="Moneda 14 2 2 2 5" xfId="707" xr:uid="{00000000-0005-0000-0000-0000BD050000}"/>
    <cellStyle name="Moneda 14 2 2 3" xfId="708" xr:uid="{00000000-0005-0000-0000-0000BE050000}"/>
    <cellStyle name="Moneda 14 2 2 3 2" xfId="709" xr:uid="{00000000-0005-0000-0000-0000BF050000}"/>
    <cellStyle name="Moneda 14 2 2 4" xfId="710" xr:uid="{00000000-0005-0000-0000-0000C0050000}"/>
    <cellStyle name="Moneda 14 2 2 4 2" xfId="711" xr:uid="{00000000-0005-0000-0000-0000C1050000}"/>
    <cellStyle name="Moneda 14 2 2 5" xfId="712" xr:uid="{00000000-0005-0000-0000-0000C2050000}"/>
    <cellStyle name="Moneda 14 2 2 5 2" xfId="713" xr:uid="{00000000-0005-0000-0000-0000C3050000}"/>
    <cellStyle name="Moneda 14 2 2 6" xfId="714" xr:uid="{00000000-0005-0000-0000-0000C4050000}"/>
    <cellStyle name="Moneda 14 2 3" xfId="715" xr:uid="{00000000-0005-0000-0000-0000C5050000}"/>
    <cellStyle name="Moneda 14 2 3 2" xfId="716" xr:uid="{00000000-0005-0000-0000-0000C6050000}"/>
    <cellStyle name="Moneda 14 2 3 2 2" xfId="717" xr:uid="{00000000-0005-0000-0000-0000C7050000}"/>
    <cellStyle name="Moneda 14 2 3 3" xfId="718" xr:uid="{00000000-0005-0000-0000-0000C8050000}"/>
    <cellStyle name="Moneda 14 2 3 3 2" xfId="719" xr:uid="{00000000-0005-0000-0000-0000C9050000}"/>
    <cellStyle name="Moneda 14 2 3 4" xfId="720" xr:uid="{00000000-0005-0000-0000-0000CA050000}"/>
    <cellStyle name="Moneda 14 2 3 4 2" xfId="721" xr:uid="{00000000-0005-0000-0000-0000CB050000}"/>
    <cellStyle name="Moneda 14 2 3 5" xfId="722" xr:uid="{00000000-0005-0000-0000-0000CC050000}"/>
    <cellStyle name="Moneda 14 2 4" xfId="723" xr:uid="{00000000-0005-0000-0000-0000CD050000}"/>
    <cellStyle name="Moneda 14 2 4 2" xfId="724" xr:uid="{00000000-0005-0000-0000-0000CE050000}"/>
    <cellStyle name="Moneda 14 2 5" xfId="725" xr:uid="{00000000-0005-0000-0000-0000CF050000}"/>
    <cellStyle name="Moneda 14 2 5 2" xfId="726" xr:uid="{00000000-0005-0000-0000-0000D0050000}"/>
    <cellStyle name="Moneda 14 2 6" xfId="727" xr:uid="{00000000-0005-0000-0000-0000D1050000}"/>
    <cellStyle name="Moneda 14 2 6 2" xfId="728" xr:uid="{00000000-0005-0000-0000-0000D2050000}"/>
    <cellStyle name="Moneda 14 2 7" xfId="729" xr:uid="{00000000-0005-0000-0000-0000D3050000}"/>
    <cellStyle name="Moneda 14 2 8" xfId="730" xr:uid="{00000000-0005-0000-0000-0000D4050000}"/>
    <cellStyle name="Moneda 14 3" xfId="731" xr:uid="{00000000-0005-0000-0000-0000D5050000}"/>
    <cellStyle name="Moneda 14 3 2" xfId="732" xr:uid="{00000000-0005-0000-0000-0000D6050000}"/>
    <cellStyle name="Moneda 14 3 2 2" xfId="733" xr:uid="{00000000-0005-0000-0000-0000D7050000}"/>
    <cellStyle name="Moneda 14 3 2 2 2" xfId="734" xr:uid="{00000000-0005-0000-0000-0000D8050000}"/>
    <cellStyle name="Moneda 14 3 2 3" xfId="735" xr:uid="{00000000-0005-0000-0000-0000D9050000}"/>
    <cellStyle name="Moneda 14 3 2 3 2" xfId="736" xr:uid="{00000000-0005-0000-0000-0000DA050000}"/>
    <cellStyle name="Moneda 14 3 2 4" xfId="737" xr:uid="{00000000-0005-0000-0000-0000DB050000}"/>
    <cellStyle name="Moneda 14 3 2 4 2" xfId="738" xr:uid="{00000000-0005-0000-0000-0000DC050000}"/>
    <cellStyle name="Moneda 14 3 2 5" xfId="739" xr:uid="{00000000-0005-0000-0000-0000DD050000}"/>
    <cellStyle name="Moneda 14 3 3" xfId="740" xr:uid="{00000000-0005-0000-0000-0000DE050000}"/>
    <cellStyle name="Moneda 14 3 3 2" xfId="741" xr:uid="{00000000-0005-0000-0000-0000DF050000}"/>
    <cellStyle name="Moneda 14 3 4" xfId="742" xr:uid="{00000000-0005-0000-0000-0000E0050000}"/>
    <cellStyle name="Moneda 14 3 4 2" xfId="743" xr:uid="{00000000-0005-0000-0000-0000E1050000}"/>
    <cellStyle name="Moneda 14 3 5" xfId="744" xr:uid="{00000000-0005-0000-0000-0000E2050000}"/>
    <cellStyle name="Moneda 14 3 5 2" xfId="745" xr:uid="{00000000-0005-0000-0000-0000E3050000}"/>
    <cellStyle name="Moneda 14 3 6" xfId="746" xr:uid="{00000000-0005-0000-0000-0000E4050000}"/>
    <cellStyle name="Moneda 14 4" xfId="747" xr:uid="{00000000-0005-0000-0000-0000E5050000}"/>
    <cellStyle name="Moneda 14 4 2" xfId="748" xr:uid="{00000000-0005-0000-0000-0000E6050000}"/>
    <cellStyle name="Moneda 14 4 2 2" xfId="749" xr:uid="{00000000-0005-0000-0000-0000E7050000}"/>
    <cellStyle name="Moneda 14 4 3" xfId="750" xr:uid="{00000000-0005-0000-0000-0000E8050000}"/>
    <cellStyle name="Moneda 14 4 3 2" xfId="751" xr:uid="{00000000-0005-0000-0000-0000E9050000}"/>
    <cellStyle name="Moneda 14 4 4" xfId="752" xr:uid="{00000000-0005-0000-0000-0000EA050000}"/>
    <cellStyle name="Moneda 14 4 4 2" xfId="753" xr:uid="{00000000-0005-0000-0000-0000EB050000}"/>
    <cellStyle name="Moneda 14 4 5" xfId="754" xr:uid="{00000000-0005-0000-0000-0000EC050000}"/>
    <cellStyle name="Moneda 14 5" xfId="755" xr:uid="{00000000-0005-0000-0000-0000ED050000}"/>
    <cellStyle name="Moneda 14 5 2" xfId="756" xr:uid="{00000000-0005-0000-0000-0000EE050000}"/>
    <cellStyle name="Moneda 14 6" xfId="757" xr:uid="{00000000-0005-0000-0000-0000EF050000}"/>
    <cellStyle name="Moneda 14 6 2" xfId="758" xr:uid="{00000000-0005-0000-0000-0000F0050000}"/>
    <cellStyle name="Moneda 14 7" xfId="759" xr:uid="{00000000-0005-0000-0000-0000F1050000}"/>
    <cellStyle name="Moneda 14 7 2" xfId="760" xr:uid="{00000000-0005-0000-0000-0000F2050000}"/>
    <cellStyle name="Moneda 14 8" xfId="761" xr:uid="{00000000-0005-0000-0000-0000F3050000}"/>
    <cellStyle name="Moneda 14 9" xfId="762" xr:uid="{00000000-0005-0000-0000-0000F4050000}"/>
    <cellStyle name="Moneda 15" xfId="763" xr:uid="{00000000-0005-0000-0000-0000F5050000}"/>
    <cellStyle name="Moneda 15 2" xfId="764" xr:uid="{00000000-0005-0000-0000-0000F6050000}"/>
    <cellStyle name="Moneda 15 2 2" xfId="765" xr:uid="{00000000-0005-0000-0000-0000F7050000}"/>
    <cellStyle name="Moneda 15 2 2 2" xfId="766" xr:uid="{00000000-0005-0000-0000-0000F8050000}"/>
    <cellStyle name="Moneda 15 2 2 2 2" xfId="767" xr:uid="{00000000-0005-0000-0000-0000F9050000}"/>
    <cellStyle name="Moneda 15 2 2 2 2 2" xfId="768" xr:uid="{00000000-0005-0000-0000-0000FA050000}"/>
    <cellStyle name="Moneda 15 2 2 2 3" xfId="769" xr:uid="{00000000-0005-0000-0000-0000FB050000}"/>
    <cellStyle name="Moneda 15 2 2 2 3 2" xfId="770" xr:uid="{00000000-0005-0000-0000-0000FC050000}"/>
    <cellStyle name="Moneda 15 2 2 2 4" xfId="771" xr:uid="{00000000-0005-0000-0000-0000FD050000}"/>
    <cellStyle name="Moneda 15 2 2 2 4 2" xfId="772" xr:uid="{00000000-0005-0000-0000-0000FE050000}"/>
    <cellStyle name="Moneda 15 2 2 2 5" xfId="773" xr:uid="{00000000-0005-0000-0000-0000FF050000}"/>
    <cellStyle name="Moneda 15 2 2 3" xfId="774" xr:uid="{00000000-0005-0000-0000-000000060000}"/>
    <cellStyle name="Moneda 15 2 2 3 2" xfId="775" xr:uid="{00000000-0005-0000-0000-000001060000}"/>
    <cellStyle name="Moneda 15 2 2 4" xfId="776" xr:uid="{00000000-0005-0000-0000-000002060000}"/>
    <cellStyle name="Moneda 15 2 2 4 2" xfId="777" xr:uid="{00000000-0005-0000-0000-000003060000}"/>
    <cellStyle name="Moneda 15 2 2 5" xfId="778" xr:uid="{00000000-0005-0000-0000-000004060000}"/>
    <cellStyle name="Moneda 15 2 2 5 2" xfId="779" xr:uid="{00000000-0005-0000-0000-000005060000}"/>
    <cellStyle name="Moneda 15 2 2 6" xfId="780" xr:uid="{00000000-0005-0000-0000-000006060000}"/>
    <cellStyle name="Moneda 15 2 3" xfId="781" xr:uid="{00000000-0005-0000-0000-000007060000}"/>
    <cellStyle name="Moneda 15 2 3 2" xfId="782" xr:uid="{00000000-0005-0000-0000-000008060000}"/>
    <cellStyle name="Moneda 15 2 3 2 2" xfId="783" xr:uid="{00000000-0005-0000-0000-000009060000}"/>
    <cellStyle name="Moneda 15 2 3 3" xfId="784" xr:uid="{00000000-0005-0000-0000-00000A060000}"/>
    <cellStyle name="Moneda 15 2 3 3 2" xfId="785" xr:uid="{00000000-0005-0000-0000-00000B060000}"/>
    <cellStyle name="Moneda 15 2 3 4" xfId="786" xr:uid="{00000000-0005-0000-0000-00000C060000}"/>
    <cellStyle name="Moneda 15 2 3 4 2" xfId="787" xr:uid="{00000000-0005-0000-0000-00000D060000}"/>
    <cellStyle name="Moneda 15 2 3 5" xfId="788" xr:uid="{00000000-0005-0000-0000-00000E060000}"/>
    <cellStyle name="Moneda 15 2 4" xfId="789" xr:uid="{00000000-0005-0000-0000-00000F060000}"/>
    <cellStyle name="Moneda 15 2 4 2" xfId="790" xr:uid="{00000000-0005-0000-0000-000010060000}"/>
    <cellStyle name="Moneda 15 2 5" xfId="791" xr:uid="{00000000-0005-0000-0000-000011060000}"/>
    <cellStyle name="Moneda 15 2 5 2" xfId="792" xr:uid="{00000000-0005-0000-0000-000012060000}"/>
    <cellStyle name="Moneda 15 2 6" xfId="793" xr:uid="{00000000-0005-0000-0000-000013060000}"/>
    <cellStyle name="Moneda 15 2 6 2" xfId="794" xr:uid="{00000000-0005-0000-0000-000014060000}"/>
    <cellStyle name="Moneda 15 2 7" xfId="795" xr:uid="{00000000-0005-0000-0000-000015060000}"/>
    <cellStyle name="Moneda 15 2 8" xfId="796" xr:uid="{00000000-0005-0000-0000-000016060000}"/>
    <cellStyle name="Moneda 15 3" xfId="797" xr:uid="{00000000-0005-0000-0000-000017060000}"/>
    <cellStyle name="Moneda 15 3 2" xfId="798" xr:uid="{00000000-0005-0000-0000-000018060000}"/>
    <cellStyle name="Moneda 15 3 2 2" xfId="799" xr:uid="{00000000-0005-0000-0000-000019060000}"/>
    <cellStyle name="Moneda 15 3 2 2 2" xfId="800" xr:uid="{00000000-0005-0000-0000-00001A060000}"/>
    <cellStyle name="Moneda 15 3 2 3" xfId="801" xr:uid="{00000000-0005-0000-0000-00001B060000}"/>
    <cellStyle name="Moneda 15 3 2 3 2" xfId="802" xr:uid="{00000000-0005-0000-0000-00001C060000}"/>
    <cellStyle name="Moneda 15 3 2 4" xfId="803" xr:uid="{00000000-0005-0000-0000-00001D060000}"/>
    <cellStyle name="Moneda 15 3 2 4 2" xfId="804" xr:uid="{00000000-0005-0000-0000-00001E060000}"/>
    <cellStyle name="Moneda 15 3 2 5" xfId="805" xr:uid="{00000000-0005-0000-0000-00001F060000}"/>
    <cellStyle name="Moneda 15 3 3" xfId="806" xr:uid="{00000000-0005-0000-0000-000020060000}"/>
    <cellStyle name="Moneda 15 3 3 2" xfId="807" xr:uid="{00000000-0005-0000-0000-000021060000}"/>
    <cellStyle name="Moneda 15 3 4" xfId="808" xr:uid="{00000000-0005-0000-0000-000022060000}"/>
    <cellStyle name="Moneda 15 3 4 2" xfId="809" xr:uid="{00000000-0005-0000-0000-000023060000}"/>
    <cellStyle name="Moneda 15 3 5" xfId="810" xr:uid="{00000000-0005-0000-0000-000024060000}"/>
    <cellStyle name="Moneda 15 3 5 2" xfId="811" xr:uid="{00000000-0005-0000-0000-000025060000}"/>
    <cellStyle name="Moneda 15 3 6" xfId="812" xr:uid="{00000000-0005-0000-0000-000026060000}"/>
    <cellStyle name="Moneda 15 4" xfId="813" xr:uid="{00000000-0005-0000-0000-000027060000}"/>
    <cellStyle name="Moneda 15 4 2" xfId="814" xr:uid="{00000000-0005-0000-0000-000028060000}"/>
    <cellStyle name="Moneda 15 4 2 2" xfId="815" xr:uid="{00000000-0005-0000-0000-000029060000}"/>
    <cellStyle name="Moneda 15 4 3" xfId="816" xr:uid="{00000000-0005-0000-0000-00002A060000}"/>
    <cellStyle name="Moneda 15 4 3 2" xfId="817" xr:uid="{00000000-0005-0000-0000-00002B060000}"/>
    <cellStyle name="Moneda 15 4 4" xfId="818" xr:uid="{00000000-0005-0000-0000-00002C060000}"/>
    <cellStyle name="Moneda 15 4 4 2" xfId="819" xr:uid="{00000000-0005-0000-0000-00002D060000}"/>
    <cellStyle name="Moneda 15 4 5" xfId="820" xr:uid="{00000000-0005-0000-0000-00002E060000}"/>
    <cellStyle name="Moneda 15 5" xfId="821" xr:uid="{00000000-0005-0000-0000-00002F060000}"/>
    <cellStyle name="Moneda 15 5 2" xfId="822" xr:uid="{00000000-0005-0000-0000-000030060000}"/>
    <cellStyle name="Moneda 15 6" xfId="823" xr:uid="{00000000-0005-0000-0000-000031060000}"/>
    <cellStyle name="Moneda 15 6 2" xfId="824" xr:uid="{00000000-0005-0000-0000-000032060000}"/>
    <cellStyle name="Moneda 15 7" xfId="825" xr:uid="{00000000-0005-0000-0000-000033060000}"/>
    <cellStyle name="Moneda 15 7 2" xfId="826" xr:uid="{00000000-0005-0000-0000-000034060000}"/>
    <cellStyle name="Moneda 15 8" xfId="827" xr:uid="{00000000-0005-0000-0000-000035060000}"/>
    <cellStyle name="Moneda 15 9" xfId="828" xr:uid="{00000000-0005-0000-0000-000036060000}"/>
    <cellStyle name="Moneda 16" xfId="829" xr:uid="{00000000-0005-0000-0000-000037060000}"/>
    <cellStyle name="Moneda 16 2" xfId="830" xr:uid="{00000000-0005-0000-0000-000038060000}"/>
    <cellStyle name="Moneda 16 2 2" xfId="831" xr:uid="{00000000-0005-0000-0000-000039060000}"/>
    <cellStyle name="Moneda 16 2 2 2" xfId="832" xr:uid="{00000000-0005-0000-0000-00003A060000}"/>
    <cellStyle name="Moneda 16 2 2 2 2" xfId="833" xr:uid="{00000000-0005-0000-0000-00003B060000}"/>
    <cellStyle name="Moneda 16 2 2 3" xfId="834" xr:uid="{00000000-0005-0000-0000-00003C060000}"/>
    <cellStyle name="Moneda 16 2 2 3 2" xfId="835" xr:uid="{00000000-0005-0000-0000-00003D060000}"/>
    <cellStyle name="Moneda 16 2 2 4" xfId="836" xr:uid="{00000000-0005-0000-0000-00003E060000}"/>
    <cellStyle name="Moneda 16 2 2 4 2" xfId="837" xr:uid="{00000000-0005-0000-0000-00003F060000}"/>
    <cellStyle name="Moneda 16 2 2 5" xfId="838" xr:uid="{00000000-0005-0000-0000-000040060000}"/>
    <cellStyle name="Moneda 16 2 3" xfId="839" xr:uid="{00000000-0005-0000-0000-000041060000}"/>
    <cellStyle name="Moneda 16 2 3 2" xfId="840" xr:uid="{00000000-0005-0000-0000-000042060000}"/>
    <cellStyle name="Moneda 16 2 4" xfId="841" xr:uid="{00000000-0005-0000-0000-000043060000}"/>
    <cellStyle name="Moneda 16 2 4 2" xfId="842" xr:uid="{00000000-0005-0000-0000-000044060000}"/>
    <cellStyle name="Moneda 16 2 5" xfId="843" xr:uid="{00000000-0005-0000-0000-000045060000}"/>
    <cellStyle name="Moneda 16 2 5 2" xfId="844" xr:uid="{00000000-0005-0000-0000-000046060000}"/>
    <cellStyle name="Moneda 16 2 6" xfId="845" xr:uid="{00000000-0005-0000-0000-000047060000}"/>
    <cellStyle name="Moneda 16 2 7" xfId="846" xr:uid="{00000000-0005-0000-0000-000048060000}"/>
    <cellStyle name="Moneda 16 3" xfId="847" xr:uid="{00000000-0005-0000-0000-000049060000}"/>
    <cellStyle name="Moneda 16 3 2" xfId="848" xr:uid="{00000000-0005-0000-0000-00004A060000}"/>
    <cellStyle name="Moneda 16 3 2 2" xfId="849" xr:uid="{00000000-0005-0000-0000-00004B060000}"/>
    <cellStyle name="Moneda 16 3 3" xfId="850" xr:uid="{00000000-0005-0000-0000-00004C060000}"/>
    <cellStyle name="Moneda 16 3 3 2" xfId="851" xr:uid="{00000000-0005-0000-0000-00004D060000}"/>
    <cellStyle name="Moneda 16 3 4" xfId="852" xr:uid="{00000000-0005-0000-0000-00004E060000}"/>
    <cellStyle name="Moneda 16 3 4 2" xfId="853" xr:uid="{00000000-0005-0000-0000-00004F060000}"/>
    <cellStyle name="Moneda 16 3 5" xfId="854" xr:uid="{00000000-0005-0000-0000-000050060000}"/>
    <cellStyle name="Moneda 16 4" xfId="855" xr:uid="{00000000-0005-0000-0000-000051060000}"/>
    <cellStyle name="Moneda 16 4 2" xfId="856" xr:uid="{00000000-0005-0000-0000-000052060000}"/>
    <cellStyle name="Moneda 16 5" xfId="857" xr:uid="{00000000-0005-0000-0000-000053060000}"/>
    <cellStyle name="Moneda 16 5 2" xfId="858" xr:uid="{00000000-0005-0000-0000-000054060000}"/>
    <cellStyle name="Moneda 16 6" xfId="859" xr:uid="{00000000-0005-0000-0000-000055060000}"/>
    <cellStyle name="Moneda 16 6 2" xfId="860" xr:uid="{00000000-0005-0000-0000-000056060000}"/>
    <cellStyle name="Moneda 16 7" xfId="861" xr:uid="{00000000-0005-0000-0000-000057060000}"/>
    <cellStyle name="Moneda 16 8" xfId="862" xr:uid="{00000000-0005-0000-0000-000058060000}"/>
    <cellStyle name="Moneda 17" xfId="863" xr:uid="{00000000-0005-0000-0000-000059060000}"/>
    <cellStyle name="Moneda 17 2" xfId="864" xr:uid="{00000000-0005-0000-0000-00005A060000}"/>
    <cellStyle name="Moneda 17 2 2" xfId="865" xr:uid="{00000000-0005-0000-0000-00005B060000}"/>
    <cellStyle name="Moneda 17 2 2 2" xfId="866" xr:uid="{00000000-0005-0000-0000-00005C060000}"/>
    <cellStyle name="Moneda 17 2 2 2 2" xfId="867" xr:uid="{00000000-0005-0000-0000-00005D060000}"/>
    <cellStyle name="Moneda 17 2 2 3" xfId="868" xr:uid="{00000000-0005-0000-0000-00005E060000}"/>
    <cellStyle name="Moneda 17 2 2 3 2" xfId="869" xr:uid="{00000000-0005-0000-0000-00005F060000}"/>
    <cellStyle name="Moneda 17 2 2 4" xfId="870" xr:uid="{00000000-0005-0000-0000-000060060000}"/>
    <cellStyle name="Moneda 17 2 2 4 2" xfId="871" xr:uid="{00000000-0005-0000-0000-000061060000}"/>
    <cellStyle name="Moneda 17 2 2 5" xfId="872" xr:uid="{00000000-0005-0000-0000-000062060000}"/>
    <cellStyle name="Moneda 17 2 3" xfId="873" xr:uid="{00000000-0005-0000-0000-000063060000}"/>
    <cellStyle name="Moneda 17 2 3 2" xfId="874" xr:uid="{00000000-0005-0000-0000-000064060000}"/>
    <cellStyle name="Moneda 17 2 4" xfId="875" xr:uid="{00000000-0005-0000-0000-000065060000}"/>
    <cellStyle name="Moneda 17 2 4 2" xfId="876" xr:uid="{00000000-0005-0000-0000-000066060000}"/>
    <cellStyle name="Moneda 17 2 5" xfId="877" xr:uid="{00000000-0005-0000-0000-000067060000}"/>
    <cellStyle name="Moneda 17 2 5 2" xfId="878" xr:uid="{00000000-0005-0000-0000-000068060000}"/>
    <cellStyle name="Moneda 17 2 6" xfId="879" xr:uid="{00000000-0005-0000-0000-000069060000}"/>
    <cellStyle name="Moneda 17 2 7" xfId="880" xr:uid="{00000000-0005-0000-0000-00006A060000}"/>
    <cellStyle name="Moneda 17 3" xfId="881" xr:uid="{00000000-0005-0000-0000-00006B060000}"/>
    <cellStyle name="Moneda 17 3 2" xfId="882" xr:uid="{00000000-0005-0000-0000-00006C060000}"/>
    <cellStyle name="Moneda 17 3 2 2" xfId="883" xr:uid="{00000000-0005-0000-0000-00006D060000}"/>
    <cellStyle name="Moneda 17 3 3" xfId="884" xr:uid="{00000000-0005-0000-0000-00006E060000}"/>
    <cellStyle name="Moneda 17 3 3 2" xfId="885" xr:uid="{00000000-0005-0000-0000-00006F060000}"/>
    <cellStyle name="Moneda 17 3 4" xfId="886" xr:uid="{00000000-0005-0000-0000-000070060000}"/>
    <cellStyle name="Moneda 17 3 4 2" xfId="887" xr:uid="{00000000-0005-0000-0000-000071060000}"/>
    <cellStyle name="Moneda 17 3 5" xfId="888" xr:uid="{00000000-0005-0000-0000-000072060000}"/>
    <cellStyle name="Moneda 17 4" xfId="889" xr:uid="{00000000-0005-0000-0000-000073060000}"/>
    <cellStyle name="Moneda 17 4 2" xfId="890" xr:uid="{00000000-0005-0000-0000-000074060000}"/>
    <cellStyle name="Moneda 17 5" xfId="891" xr:uid="{00000000-0005-0000-0000-000075060000}"/>
    <cellStyle name="Moneda 17 5 2" xfId="892" xr:uid="{00000000-0005-0000-0000-000076060000}"/>
    <cellStyle name="Moneda 17 6" xfId="893" xr:uid="{00000000-0005-0000-0000-000077060000}"/>
    <cellStyle name="Moneda 17 6 2" xfId="894" xr:uid="{00000000-0005-0000-0000-000078060000}"/>
    <cellStyle name="Moneda 17 7" xfId="895" xr:uid="{00000000-0005-0000-0000-000079060000}"/>
    <cellStyle name="Moneda 17 8" xfId="896" xr:uid="{00000000-0005-0000-0000-00007A060000}"/>
    <cellStyle name="Moneda 18" xfId="897" xr:uid="{00000000-0005-0000-0000-00007B060000}"/>
    <cellStyle name="Moneda 18 2" xfId="898" xr:uid="{00000000-0005-0000-0000-00007C060000}"/>
    <cellStyle name="Moneda 18 2 2" xfId="899" xr:uid="{00000000-0005-0000-0000-00007D060000}"/>
    <cellStyle name="Moneda 18 2 2 2" xfId="900" xr:uid="{00000000-0005-0000-0000-00007E060000}"/>
    <cellStyle name="Moneda 18 2 2 2 2" xfId="901" xr:uid="{00000000-0005-0000-0000-00007F060000}"/>
    <cellStyle name="Moneda 18 2 2 3" xfId="902" xr:uid="{00000000-0005-0000-0000-000080060000}"/>
    <cellStyle name="Moneda 18 2 2 3 2" xfId="903" xr:uid="{00000000-0005-0000-0000-000081060000}"/>
    <cellStyle name="Moneda 18 2 2 4" xfId="904" xr:uid="{00000000-0005-0000-0000-000082060000}"/>
    <cellStyle name="Moneda 18 2 2 4 2" xfId="905" xr:uid="{00000000-0005-0000-0000-000083060000}"/>
    <cellStyle name="Moneda 18 2 2 5" xfId="906" xr:uid="{00000000-0005-0000-0000-000084060000}"/>
    <cellStyle name="Moneda 18 2 3" xfId="907" xr:uid="{00000000-0005-0000-0000-000085060000}"/>
    <cellStyle name="Moneda 18 2 3 2" xfId="908" xr:uid="{00000000-0005-0000-0000-000086060000}"/>
    <cellStyle name="Moneda 18 2 4" xfId="909" xr:uid="{00000000-0005-0000-0000-000087060000}"/>
    <cellStyle name="Moneda 18 2 4 2" xfId="910" xr:uid="{00000000-0005-0000-0000-000088060000}"/>
    <cellStyle name="Moneda 18 2 5" xfId="911" xr:uid="{00000000-0005-0000-0000-000089060000}"/>
    <cellStyle name="Moneda 18 2 5 2" xfId="912" xr:uid="{00000000-0005-0000-0000-00008A060000}"/>
    <cellStyle name="Moneda 18 2 6" xfId="913" xr:uid="{00000000-0005-0000-0000-00008B060000}"/>
    <cellStyle name="Moneda 18 2 7" xfId="914" xr:uid="{00000000-0005-0000-0000-00008C060000}"/>
    <cellStyle name="Moneda 18 3" xfId="915" xr:uid="{00000000-0005-0000-0000-00008D060000}"/>
    <cellStyle name="Moneda 18 3 2" xfId="916" xr:uid="{00000000-0005-0000-0000-00008E060000}"/>
    <cellStyle name="Moneda 18 3 2 2" xfId="917" xr:uid="{00000000-0005-0000-0000-00008F060000}"/>
    <cellStyle name="Moneda 18 3 3" xfId="918" xr:uid="{00000000-0005-0000-0000-000090060000}"/>
    <cellStyle name="Moneda 18 3 3 2" xfId="919" xr:uid="{00000000-0005-0000-0000-000091060000}"/>
    <cellStyle name="Moneda 18 3 4" xfId="920" xr:uid="{00000000-0005-0000-0000-000092060000}"/>
    <cellStyle name="Moneda 18 3 4 2" xfId="921" xr:uid="{00000000-0005-0000-0000-000093060000}"/>
    <cellStyle name="Moneda 18 3 5" xfId="922" xr:uid="{00000000-0005-0000-0000-000094060000}"/>
    <cellStyle name="Moneda 18 4" xfId="923" xr:uid="{00000000-0005-0000-0000-000095060000}"/>
    <cellStyle name="Moneda 18 4 2" xfId="924" xr:uid="{00000000-0005-0000-0000-000096060000}"/>
    <cellStyle name="Moneda 18 5" xfId="925" xr:uid="{00000000-0005-0000-0000-000097060000}"/>
    <cellStyle name="Moneda 18 5 2" xfId="926" xr:uid="{00000000-0005-0000-0000-000098060000}"/>
    <cellStyle name="Moneda 18 6" xfId="927" xr:uid="{00000000-0005-0000-0000-000099060000}"/>
    <cellStyle name="Moneda 18 6 2" xfId="928" xr:uid="{00000000-0005-0000-0000-00009A060000}"/>
    <cellStyle name="Moneda 18 7" xfId="929" xr:uid="{00000000-0005-0000-0000-00009B060000}"/>
    <cellStyle name="Moneda 18 8" xfId="930" xr:uid="{00000000-0005-0000-0000-00009C060000}"/>
    <cellStyle name="Moneda 19" xfId="931" xr:uid="{00000000-0005-0000-0000-00009D060000}"/>
    <cellStyle name="Moneda 19 2" xfId="932" xr:uid="{00000000-0005-0000-0000-00009E060000}"/>
    <cellStyle name="Moneda 19 2 2" xfId="933" xr:uid="{00000000-0005-0000-0000-00009F060000}"/>
    <cellStyle name="Moneda 19 2 2 2" xfId="934" xr:uid="{00000000-0005-0000-0000-0000A0060000}"/>
    <cellStyle name="Moneda 19 2 2 2 2" xfId="935" xr:uid="{00000000-0005-0000-0000-0000A1060000}"/>
    <cellStyle name="Moneda 19 2 2 3" xfId="936" xr:uid="{00000000-0005-0000-0000-0000A2060000}"/>
    <cellStyle name="Moneda 19 2 2 3 2" xfId="937" xr:uid="{00000000-0005-0000-0000-0000A3060000}"/>
    <cellStyle name="Moneda 19 2 2 4" xfId="938" xr:uid="{00000000-0005-0000-0000-0000A4060000}"/>
    <cellStyle name="Moneda 19 2 2 4 2" xfId="939" xr:uid="{00000000-0005-0000-0000-0000A5060000}"/>
    <cellStyle name="Moneda 19 2 2 5" xfId="940" xr:uid="{00000000-0005-0000-0000-0000A6060000}"/>
    <cellStyle name="Moneda 19 2 3" xfId="941" xr:uid="{00000000-0005-0000-0000-0000A7060000}"/>
    <cellStyle name="Moneda 19 2 3 2" xfId="942" xr:uid="{00000000-0005-0000-0000-0000A8060000}"/>
    <cellStyle name="Moneda 19 2 4" xfId="943" xr:uid="{00000000-0005-0000-0000-0000A9060000}"/>
    <cellStyle name="Moneda 19 2 4 2" xfId="944" xr:uid="{00000000-0005-0000-0000-0000AA060000}"/>
    <cellStyle name="Moneda 19 2 5" xfId="945" xr:uid="{00000000-0005-0000-0000-0000AB060000}"/>
    <cellStyle name="Moneda 19 2 5 2" xfId="946" xr:uid="{00000000-0005-0000-0000-0000AC060000}"/>
    <cellStyle name="Moneda 19 2 6" xfId="947" xr:uid="{00000000-0005-0000-0000-0000AD060000}"/>
    <cellStyle name="Moneda 19 2 7" xfId="948" xr:uid="{00000000-0005-0000-0000-0000AE060000}"/>
    <cellStyle name="Moneda 19 3" xfId="949" xr:uid="{00000000-0005-0000-0000-0000AF060000}"/>
    <cellStyle name="Moneda 19 3 2" xfId="950" xr:uid="{00000000-0005-0000-0000-0000B0060000}"/>
    <cellStyle name="Moneda 19 3 2 2" xfId="951" xr:uid="{00000000-0005-0000-0000-0000B1060000}"/>
    <cellStyle name="Moneda 19 3 3" xfId="952" xr:uid="{00000000-0005-0000-0000-0000B2060000}"/>
    <cellStyle name="Moneda 19 3 3 2" xfId="953" xr:uid="{00000000-0005-0000-0000-0000B3060000}"/>
    <cellStyle name="Moneda 19 3 4" xfId="954" xr:uid="{00000000-0005-0000-0000-0000B4060000}"/>
    <cellStyle name="Moneda 19 3 4 2" xfId="955" xr:uid="{00000000-0005-0000-0000-0000B5060000}"/>
    <cellStyle name="Moneda 19 3 5" xfId="956" xr:uid="{00000000-0005-0000-0000-0000B6060000}"/>
    <cellStyle name="Moneda 19 4" xfId="957" xr:uid="{00000000-0005-0000-0000-0000B7060000}"/>
    <cellStyle name="Moneda 19 4 2" xfId="958" xr:uid="{00000000-0005-0000-0000-0000B8060000}"/>
    <cellStyle name="Moneda 19 5" xfId="959" xr:uid="{00000000-0005-0000-0000-0000B9060000}"/>
    <cellStyle name="Moneda 19 5 2" xfId="960" xr:uid="{00000000-0005-0000-0000-0000BA060000}"/>
    <cellStyle name="Moneda 19 6" xfId="961" xr:uid="{00000000-0005-0000-0000-0000BB060000}"/>
    <cellStyle name="Moneda 19 6 2" xfId="962" xr:uid="{00000000-0005-0000-0000-0000BC060000}"/>
    <cellStyle name="Moneda 19 7" xfId="963" xr:uid="{00000000-0005-0000-0000-0000BD060000}"/>
    <cellStyle name="Moneda 19 8" xfId="964" xr:uid="{00000000-0005-0000-0000-0000BE060000}"/>
    <cellStyle name="Moneda 2" xfId="10" xr:uid="{00000000-0005-0000-0000-0000BF060000}"/>
    <cellStyle name="Moneda 2 2" xfId="11" xr:uid="{00000000-0005-0000-0000-0000C0060000}"/>
    <cellStyle name="Moneda 2 2 2" xfId="12" xr:uid="{00000000-0005-0000-0000-0000C1060000}"/>
    <cellStyle name="Moneda 2 2 3" xfId="965" xr:uid="{00000000-0005-0000-0000-0000C2060000}"/>
    <cellStyle name="Moneda 2 2 3 2" xfId="966" xr:uid="{00000000-0005-0000-0000-0000C3060000}"/>
    <cellStyle name="Moneda 2 3" xfId="13" xr:uid="{00000000-0005-0000-0000-0000C4060000}"/>
    <cellStyle name="Moneda 2 3 10" xfId="967" xr:uid="{00000000-0005-0000-0000-0000C5060000}"/>
    <cellStyle name="Moneda 2 3 10 2" xfId="968" xr:uid="{00000000-0005-0000-0000-0000C6060000}"/>
    <cellStyle name="Moneda 2 3 10 2 2" xfId="969" xr:uid="{00000000-0005-0000-0000-0000C7060000}"/>
    <cellStyle name="Moneda 2 3 10 3" xfId="970" xr:uid="{00000000-0005-0000-0000-0000C8060000}"/>
    <cellStyle name="Moneda 2 3 11" xfId="971" xr:uid="{00000000-0005-0000-0000-0000C9060000}"/>
    <cellStyle name="Moneda 2 3 11 2" xfId="972" xr:uid="{00000000-0005-0000-0000-0000CA060000}"/>
    <cellStyle name="Moneda 2 3 11 3" xfId="973" xr:uid="{00000000-0005-0000-0000-0000CB060000}"/>
    <cellStyle name="Moneda 2 3 12" xfId="974" xr:uid="{00000000-0005-0000-0000-0000CC060000}"/>
    <cellStyle name="Moneda 2 3 2" xfId="975" xr:uid="{00000000-0005-0000-0000-0000CD060000}"/>
    <cellStyle name="Moneda 2 3 2 10" xfId="976" xr:uid="{00000000-0005-0000-0000-0000CE060000}"/>
    <cellStyle name="Moneda 2 3 2 11" xfId="977" xr:uid="{00000000-0005-0000-0000-0000CF060000}"/>
    <cellStyle name="Moneda 2 3 2 2" xfId="978" xr:uid="{00000000-0005-0000-0000-0000D0060000}"/>
    <cellStyle name="Moneda 2 3 2 2 2" xfId="979" xr:uid="{00000000-0005-0000-0000-0000D1060000}"/>
    <cellStyle name="Moneda 2 3 2 2 2 2" xfId="980" xr:uid="{00000000-0005-0000-0000-0000D2060000}"/>
    <cellStyle name="Moneda 2 3 2 2 2 2 2" xfId="981" xr:uid="{00000000-0005-0000-0000-0000D3060000}"/>
    <cellStyle name="Moneda 2 3 2 2 2 2 2 2" xfId="982" xr:uid="{00000000-0005-0000-0000-0000D4060000}"/>
    <cellStyle name="Moneda 2 3 2 2 2 2 2 2 2" xfId="983" xr:uid="{00000000-0005-0000-0000-0000D5060000}"/>
    <cellStyle name="Moneda 2 3 2 2 2 2 2 3" xfId="984" xr:uid="{00000000-0005-0000-0000-0000D6060000}"/>
    <cellStyle name="Moneda 2 3 2 2 2 2 3" xfId="985" xr:uid="{00000000-0005-0000-0000-0000D7060000}"/>
    <cellStyle name="Moneda 2 3 2 2 2 2 3 2" xfId="986" xr:uid="{00000000-0005-0000-0000-0000D8060000}"/>
    <cellStyle name="Moneda 2 3 2 2 2 2 3 3" xfId="987" xr:uid="{00000000-0005-0000-0000-0000D9060000}"/>
    <cellStyle name="Moneda 2 3 2 2 2 2 4" xfId="988" xr:uid="{00000000-0005-0000-0000-0000DA060000}"/>
    <cellStyle name="Moneda 2 3 2 2 2 2 4 2" xfId="989" xr:uid="{00000000-0005-0000-0000-0000DB060000}"/>
    <cellStyle name="Moneda 2 3 2 2 2 2 5" xfId="990" xr:uid="{00000000-0005-0000-0000-0000DC060000}"/>
    <cellStyle name="Moneda 2 3 2 2 2 2 6" xfId="991" xr:uid="{00000000-0005-0000-0000-0000DD060000}"/>
    <cellStyle name="Moneda 2 3 2 2 2 3" xfId="992" xr:uid="{00000000-0005-0000-0000-0000DE060000}"/>
    <cellStyle name="Moneda 2 3 2 2 2 3 2" xfId="993" xr:uid="{00000000-0005-0000-0000-0000DF060000}"/>
    <cellStyle name="Moneda 2 3 2 2 2 3 2 2" xfId="994" xr:uid="{00000000-0005-0000-0000-0000E0060000}"/>
    <cellStyle name="Moneda 2 3 2 2 2 3 3" xfId="995" xr:uid="{00000000-0005-0000-0000-0000E1060000}"/>
    <cellStyle name="Moneda 2 3 2 2 2 4" xfId="996" xr:uid="{00000000-0005-0000-0000-0000E2060000}"/>
    <cellStyle name="Moneda 2 3 2 2 2 4 2" xfId="997" xr:uid="{00000000-0005-0000-0000-0000E3060000}"/>
    <cellStyle name="Moneda 2 3 2 2 2 4 3" xfId="998" xr:uid="{00000000-0005-0000-0000-0000E4060000}"/>
    <cellStyle name="Moneda 2 3 2 2 2 5" xfId="999" xr:uid="{00000000-0005-0000-0000-0000E5060000}"/>
    <cellStyle name="Moneda 2 3 2 2 2 5 2" xfId="1000" xr:uid="{00000000-0005-0000-0000-0000E6060000}"/>
    <cellStyle name="Moneda 2 3 2 2 2 6" xfId="1001" xr:uid="{00000000-0005-0000-0000-0000E7060000}"/>
    <cellStyle name="Moneda 2 3 2 2 2 7" xfId="1002" xr:uid="{00000000-0005-0000-0000-0000E8060000}"/>
    <cellStyle name="Moneda 2 3 2 2 3" xfId="1003" xr:uid="{00000000-0005-0000-0000-0000E9060000}"/>
    <cellStyle name="Moneda 2 3 2 2 3 2" xfId="1004" xr:uid="{00000000-0005-0000-0000-0000EA060000}"/>
    <cellStyle name="Moneda 2 3 2 2 3 2 2" xfId="1005" xr:uid="{00000000-0005-0000-0000-0000EB060000}"/>
    <cellStyle name="Moneda 2 3 2 2 3 2 2 2" xfId="1006" xr:uid="{00000000-0005-0000-0000-0000EC060000}"/>
    <cellStyle name="Moneda 2 3 2 2 3 2 2 3" xfId="1007" xr:uid="{00000000-0005-0000-0000-0000ED060000}"/>
    <cellStyle name="Moneda 2 3 2 2 3 2 3" xfId="1008" xr:uid="{00000000-0005-0000-0000-0000EE060000}"/>
    <cellStyle name="Moneda 2 3 2 2 3 2 4" xfId="1009" xr:uid="{00000000-0005-0000-0000-0000EF060000}"/>
    <cellStyle name="Moneda 2 3 2 2 3 3" xfId="1010" xr:uid="{00000000-0005-0000-0000-0000F0060000}"/>
    <cellStyle name="Moneda 2 3 2 2 3 3 2" xfId="1011" xr:uid="{00000000-0005-0000-0000-0000F1060000}"/>
    <cellStyle name="Moneda 2 3 2 2 3 3 2 2" xfId="1012" xr:uid="{00000000-0005-0000-0000-0000F2060000}"/>
    <cellStyle name="Moneda 2 3 2 2 3 3 3" xfId="1013" xr:uid="{00000000-0005-0000-0000-0000F3060000}"/>
    <cellStyle name="Moneda 2 3 2 2 3 4" xfId="1014" xr:uid="{00000000-0005-0000-0000-0000F4060000}"/>
    <cellStyle name="Moneda 2 3 2 2 3 4 2" xfId="1015" xr:uid="{00000000-0005-0000-0000-0000F5060000}"/>
    <cellStyle name="Moneda 2 3 2 2 3 4 3" xfId="1016" xr:uid="{00000000-0005-0000-0000-0000F6060000}"/>
    <cellStyle name="Moneda 2 3 2 2 3 5" xfId="1017" xr:uid="{00000000-0005-0000-0000-0000F7060000}"/>
    <cellStyle name="Moneda 2 3 2 2 3 6" xfId="1018" xr:uid="{00000000-0005-0000-0000-0000F8060000}"/>
    <cellStyle name="Moneda 2 3 2 2 4" xfId="1019" xr:uid="{00000000-0005-0000-0000-0000F9060000}"/>
    <cellStyle name="Moneda 2 3 2 2 4 2" xfId="1020" xr:uid="{00000000-0005-0000-0000-0000FA060000}"/>
    <cellStyle name="Moneda 2 3 2 2 4 2 2" xfId="1021" xr:uid="{00000000-0005-0000-0000-0000FB060000}"/>
    <cellStyle name="Moneda 2 3 2 2 4 2 2 2" xfId="1022" xr:uid="{00000000-0005-0000-0000-0000FC060000}"/>
    <cellStyle name="Moneda 2 3 2 2 4 2 3" xfId="1023" xr:uid="{00000000-0005-0000-0000-0000FD060000}"/>
    <cellStyle name="Moneda 2 3 2 2 4 2 4" xfId="1024" xr:uid="{00000000-0005-0000-0000-0000FE060000}"/>
    <cellStyle name="Moneda 2 3 2 2 4 3" xfId="1025" xr:uid="{00000000-0005-0000-0000-0000FF060000}"/>
    <cellStyle name="Moneda 2 3 2 2 4 3 2" xfId="1026" xr:uid="{00000000-0005-0000-0000-000000070000}"/>
    <cellStyle name="Moneda 2 3 2 2 4 4" xfId="1027" xr:uid="{00000000-0005-0000-0000-000001070000}"/>
    <cellStyle name="Moneda 2 3 2 2 4 5" xfId="1028" xr:uid="{00000000-0005-0000-0000-000002070000}"/>
    <cellStyle name="Moneda 2 3 2 2 5" xfId="1029" xr:uid="{00000000-0005-0000-0000-000003070000}"/>
    <cellStyle name="Moneda 2 3 2 2 5 2" xfId="1030" xr:uid="{00000000-0005-0000-0000-000004070000}"/>
    <cellStyle name="Moneda 2 3 2 2 5 2 2" xfId="1031" xr:uid="{00000000-0005-0000-0000-000005070000}"/>
    <cellStyle name="Moneda 2 3 2 2 5 2 3" xfId="1032" xr:uid="{00000000-0005-0000-0000-000006070000}"/>
    <cellStyle name="Moneda 2 3 2 2 5 3" xfId="1033" xr:uid="{00000000-0005-0000-0000-000007070000}"/>
    <cellStyle name="Moneda 2 3 2 2 5 4" xfId="1034" xr:uid="{00000000-0005-0000-0000-000008070000}"/>
    <cellStyle name="Moneda 2 3 2 2 6" xfId="1035" xr:uid="{00000000-0005-0000-0000-000009070000}"/>
    <cellStyle name="Moneda 2 3 2 2 6 2" xfId="1036" xr:uid="{00000000-0005-0000-0000-00000A070000}"/>
    <cellStyle name="Moneda 2 3 2 2 6 2 2" xfId="1037" xr:uid="{00000000-0005-0000-0000-00000B070000}"/>
    <cellStyle name="Moneda 2 3 2 2 6 3" xfId="1038" xr:uid="{00000000-0005-0000-0000-00000C070000}"/>
    <cellStyle name="Moneda 2 3 2 2 7" xfId="1039" xr:uid="{00000000-0005-0000-0000-00000D070000}"/>
    <cellStyle name="Moneda 2 3 2 2 7 2" xfId="1040" xr:uid="{00000000-0005-0000-0000-00000E070000}"/>
    <cellStyle name="Moneda 2 3 2 2 8" xfId="1041" xr:uid="{00000000-0005-0000-0000-00000F070000}"/>
    <cellStyle name="Moneda 2 3 2 3" xfId="1042" xr:uid="{00000000-0005-0000-0000-000010070000}"/>
    <cellStyle name="Moneda 2 3 2 3 2" xfId="1043" xr:uid="{00000000-0005-0000-0000-000011070000}"/>
    <cellStyle name="Moneda 2 3 2 3 2 2" xfId="1044" xr:uid="{00000000-0005-0000-0000-000012070000}"/>
    <cellStyle name="Moneda 2 3 2 3 2 2 2" xfId="1045" xr:uid="{00000000-0005-0000-0000-000013070000}"/>
    <cellStyle name="Moneda 2 3 2 3 2 2 2 2" xfId="1046" xr:uid="{00000000-0005-0000-0000-000014070000}"/>
    <cellStyle name="Moneda 2 3 2 3 2 2 2 3" xfId="1047" xr:uid="{00000000-0005-0000-0000-000015070000}"/>
    <cellStyle name="Moneda 2 3 2 3 2 2 3" xfId="1048" xr:uid="{00000000-0005-0000-0000-000016070000}"/>
    <cellStyle name="Moneda 2 3 2 3 2 2 3 2" xfId="1049" xr:uid="{00000000-0005-0000-0000-000017070000}"/>
    <cellStyle name="Moneda 2 3 2 3 2 2 4" xfId="1050" xr:uid="{00000000-0005-0000-0000-000018070000}"/>
    <cellStyle name="Moneda 2 3 2 3 2 2 4 2" xfId="1051" xr:uid="{00000000-0005-0000-0000-000019070000}"/>
    <cellStyle name="Moneda 2 3 2 3 2 2 5" xfId="1052" xr:uid="{00000000-0005-0000-0000-00001A070000}"/>
    <cellStyle name="Moneda 2 3 2 3 2 2 6" xfId="1053" xr:uid="{00000000-0005-0000-0000-00001B070000}"/>
    <cellStyle name="Moneda 2 3 2 3 2 3" xfId="1054" xr:uid="{00000000-0005-0000-0000-00001C070000}"/>
    <cellStyle name="Moneda 2 3 2 3 2 3 2" xfId="1055" xr:uid="{00000000-0005-0000-0000-00001D070000}"/>
    <cellStyle name="Moneda 2 3 2 3 2 3 3" xfId="1056" xr:uid="{00000000-0005-0000-0000-00001E070000}"/>
    <cellStyle name="Moneda 2 3 2 3 2 4" xfId="1057" xr:uid="{00000000-0005-0000-0000-00001F070000}"/>
    <cellStyle name="Moneda 2 3 2 3 2 4 2" xfId="1058" xr:uid="{00000000-0005-0000-0000-000020070000}"/>
    <cellStyle name="Moneda 2 3 2 3 2 5" xfId="1059" xr:uid="{00000000-0005-0000-0000-000021070000}"/>
    <cellStyle name="Moneda 2 3 2 3 2 5 2" xfId="1060" xr:uid="{00000000-0005-0000-0000-000022070000}"/>
    <cellStyle name="Moneda 2 3 2 3 2 6" xfId="1061" xr:uid="{00000000-0005-0000-0000-000023070000}"/>
    <cellStyle name="Moneda 2 3 2 3 2 7" xfId="1062" xr:uid="{00000000-0005-0000-0000-000024070000}"/>
    <cellStyle name="Moneda 2 3 2 3 3" xfId="1063" xr:uid="{00000000-0005-0000-0000-000025070000}"/>
    <cellStyle name="Moneda 2 3 2 3 3 2" xfId="1064" xr:uid="{00000000-0005-0000-0000-000026070000}"/>
    <cellStyle name="Moneda 2 3 2 3 3 2 2" xfId="1065" xr:uid="{00000000-0005-0000-0000-000027070000}"/>
    <cellStyle name="Moneda 2 3 2 3 3 2 3" xfId="1066" xr:uid="{00000000-0005-0000-0000-000028070000}"/>
    <cellStyle name="Moneda 2 3 2 3 3 3" xfId="1067" xr:uid="{00000000-0005-0000-0000-000029070000}"/>
    <cellStyle name="Moneda 2 3 2 3 3 3 2" xfId="1068" xr:uid="{00000000-0005-0000-0000-00002A070000}"/>
    <cellStyle name="Moneda 2 3 2 3 3 4" xfId="1069" xr:uid="{00000000-0005-0000-0000-00002B070000}"/>
    <cellStyle name="Moneda 2 3 2 3 3 4 2" xfId="1070" xr:uid="{00000000-0005-0000-0000-00002C070000}"/>
    <cellStyle name="Moneda 2 3 2 3 3 5" xfId="1071" xr:uid="{00000000-0005-0000-0000-00002D070000}"/>
    <cellStyle name="Moneda 2 3 2 3 3 6" xfId="1072" xr:uid="{00000000-0005-0000-0000-00002E070000}"/>
    <cellStyle name="Moneda 2 3 2 3 4" xfId="1073" xr:uid="{00000000-0005-0000-0000-00002F070000}"/>
    <cellStyle name="Moneda 2 3 2 3 4 2" xfId="1074" xr:uid="{00000000-0005-0000-0000-000030070000}"/>
    <cellStyle name="Moneda 2 3 2 3 4 3" xfId="1075" xr:uid="{00000000-0005-0000-0000-000031070000}"/>
    <cellStyle name="Moneda 2 3 2 3 5" xfId="1076" xr:uid="{00000000-0005-0000-0000-000032070000}"/>
    <cellStyle name="Moneda 2 3 2 3 5 2" xfId="1077" xr:uid="{00000000-0005-0000-0000-000033070000}"/>
    <cellStyle name="Moneda 2 3 2 3 6" xfId="1078" xr:uid="{00000000-0005-0000-0000-000034070000}"/>
    <cellStyle name="Moneda 2 3 2 3 6 2" xfId="1079" xr:uid="{00000000-0005-0000-0000-000035070000}"/>
    <cellStyle name="Moneda 2 3 2 3 7" xfId="1080" xr:uid="{00000000-0005-0000-0000-000036070000}"/>
    <cellStyle name="Moneda 2 3 2 3 8" xfId="1081" xr:uid="{00000000-0005-0000-0000-000037070000}"/>
    <cellStyle name="Moneda 2 3 2 4" xfId="1082" xr:uid="{00000000-0005-0000-0000-000038070000}"/>
    <cellStyle name="Moneda 2 3 2 4 2" xfId="1083" xr:uid="{00000000-0005-0000-0000-000039070000}"/>
    <cellStyle name="Moneda 2 3 2 4 2 2" xfId="1084" xr:uid="{00000000-0005-0000-0000-00003A070000}"/>
    <cellStyle name="Moneda 2 3 2 4 2 2 2" xfId="1085" xr:uid="{00000000-0005-0000-0000-00003B070000}"/>
    <cellStyle name="Moneda 2 3 2 4 2 2 2 2" xfId="1086" xr:uid="{00000000-0005-0000-0000-00003C070000}"/>
    <cellStyle name="Moneda 2 3 2 4 2 2 2 3" xfId="1087" xr:uid="{00000000-0005-0000-0000-00003D070000}"/>
    <cellStyle name="Moneda 2 3 2 4 2 2 3" xfId="1088" xr:uid="{00000000-0005-0000-0000-00003E070000}"/>
    <cellStyle name="Moneda 2 3 2 4 2 2 3 2" xfId="1089" xr:uid="{00000000-0005-0000-0000-00003F070000}"/>
    <cellStyle name="Moneda 2 3 2 4 2 2 4" xfId="1090" xr:uid="{00000000-0005-0000-0000-000040070000}"/>
    <cellStyle name="Moneda 2 3 2 4 2 2 4 2" xfId="1091" xr:uid="{00000000-0005-0000-0000-000041070000}"/>
    <cellStyle name="Moneda 2 3 2 4 2 2 5" xfId="1092" xr:uid="{00000000-0005-0000-0000-000042070000}"/>
    <cellStyle name="Moneda 2 3 2 4 2 2 6" xfId="1093" xr:uid="{00000000-0005-0000-0000-000043070000}"/>
    <cellStyle name="Moneda 2 3 2 4 2 3" xfId="1094" xr:uid="{00000000-0005-0000-0000-000044070000}"/>
    <cellStyle name="Moneda 2 3 2 4 2 3 2" xfId="1095" xr:uid="{00000000-0005-0000-0000-000045070000}"/>
    <cellStyle name="Moneda 2 3 2 4 2 3 3" xfId="1096" xr:uid="{00000000-0005-0000-0000-000046070000}"/>
    <cellStyle name="Moneda 2 3 2 4 2 4" xfId="1097" xr:uid="{00000000-0005-0000-0000-000047070000}"/>
    <cellStyle name="Moneda 2 3 2 4 2 4 2" xfId="1098" xr:uid="{00000000-0005-0000-0000-000048070000}"/>
    <cellStyle name="Moneda 2 3 2 4 2 5" xfId="1099" xr:uid="{00000000-0005-0000-0000-000049070000}"/>
    <cellStyle name="Moneda 2 3 2 4 2 5 2" xfId="1100" xr:uid="{00000000-0005-0000-0000-00004A070000}"/>
    <cellStyle name="Moneda 2 3 2 4 2 6" xfId="1101" xr:uid="{00000000-0005-0000-0000-00004B070000}"/>
    <cellStyle name="Moneda 2 3 2 4 2 7" xfId="1102" xr:uid="{00000000-0005-0000-0000-00004C070000}"/>
    <cellStyle name="Moneda 2 3 2 4 3" xfId="1103" xr:uid="{00000000-0005-0000-0000-00004D070000}"/>
    <cellStyle name="Moneda 2 3 2 4 3 2" xfId="1104" xr:uid="{00000000-0005-0000-0000-00004E070000}"/>
    <cellStyle name="Moneda 2 3 2 4 3 2 2" xfId="1105" xr:uid="{00000000-0005-0000-0000-00004F070000}"/>
    <cellStyle name="Moneda 2 3 2 4 3 2 3" xfId="1106" xr:uid="{00000000-0005-0000-0000-000050070000}"/>
    <cellStyle name="Moneda 2 3 2 4 3 3" xfId="1107" xr:uid="{00000000-0005-0000-0000-000051070000}"/>
    <cellStyle name="Moneda 2 3 2 4 3 3 2" xfId="1108" xr:uid="{00000000-0005-0000-0000-000052070000}"/>
    <cellStyle name="Moneda 2 3 2 4 3 4" xfId="1109" xr:uid="{00000000-0005-0000-0000-000053070000}"/>
    <cellStyle name="Moneda 2 3 2 4 3 4 2" xfId="1110" xr:uid="{00000000-0005-0000-0000-000054070000}"/>
    <cellStyle name="Moneda 2 3 2 4 3 5" xfId="1111" xr:uid="{00000000-0005-0000-0000-000055070000}"/>
    <cellStyle name="Moneda 2 3 2 4 3 6" xfId="1112" xr:uid="{00000000-0005-0000-0000-000056070000}"/>
    <cellStyle name="Moneda 2 3 2 4 4" xfId="1113" xr:uid="{00000000-0005-0000-0000-000057070000}"/>
    <cellStyle name="Moneda 2 3 2 4 4 2" xfId="1114" xr:uid="{00000000-0005-0000-0000-000058070000}"/>
    <cellStyle name="Moneda 2 3 2 4 4 3" xfId="1115" xr:uid="{00000000-0005-0000-0000-000059070000}"/>
    <cellStyle name="Moneda 2 3 2 4 5" xfId="1116" xr:uid="{00000000-0005-0000-0000-00005A070000}"/>
    <cellStyle name="Moneda 2 3 2 4 5 2" xfId="1117" xr:uid="{00000000-0005-0000-0000-00005B070000}"/>
    <cellStyle name="Moneda 2 3 2 4 6" xfId="1118" xr:uid="{00000000-0005-0000-0000-00005C070000}"/>
    <cellStyle name="Moneda 2 3 2 4 6 2" xfId="1119" xr:uid="{00000000-0005-0000-0000-00005D070000}"/>
    <cellStyle name="Moneda 2 3 2 4 7" xfId="1120" xr:uid="{00000000-0005-0000-0000-00005E070000}"/>
    <cellStyle name="Moneda 2 3 2 4 8" xfId="1121" xr:uid="{00000000-0005-0000-0000-00005F070000}"/>
    <cellStyle name="Moneda 2 3 2 5" xfId="1122" xr:uid="{00000000-0005-0000-0000-000060070000}"/>
    <cellStyle name="Moneda 2 3 2 5 2" xfId="1123" xr:uid="{00000000-0005-0000-0000-000061070000}"/>
    <cellStyle name="Moneda 2 3 2 5 2 2" xfId="1124" xr:uid="{00000000-0005-0000-0000-000062070000}"/>
    <cellStyle name="Moneda 2 3 2 5 2 2 2" xfId="1125" xr:uid="{00000000-0005-0000-0000-000063070000}"/>
    <cellStyle name="Moneda 2 3 2 5 2 2 2 2" xfId="1126" xr:uid="{00000000-0005-0000-0000-000064070000}"/>
    <cellStyle name="Moneda 2 3 2 5 2 2 3" xfId="1127" xr:uid="{00000000-0005-0000-0000-000065070000}"/>
    <cellStyle name="Moneda 2 3 2 5 2 3" xfId="1128" xr:uid="{00000000-0005-0000-0000-000066070000}"/>
    <cellStyle name="Moneda 2 3 2 5 2 3 2" xfId="1129" xr:uid="{00000000-0005-0000-0000-000067070000}"/>
    <cellStyle name="Moneda 2 3 2 5 2 3 3" xfId="1130" xr:uid="{00000000-0005-0000-0000-000068070000}"/>
    <cellStyle name="Moneda 2 3 2 5 2 4" xfId="1131" xr:uid="{00000000-0005-0000-0000-000069070000}"/>
    <cellStyle name="Moneda 2 3 2 5 2 4 2" xfId="1132" xr:uid="{00000000-0005-0000-0000-00006A070000}"/>
    <cellStyle name="Moneda 2 3 2 5 2 5" xfId="1133" xr:uid="{00000000-0005-0000-0000-00006B070000}"/>
    <cellStyle name="Moneda 2 3 2 5 2 6" xfId="1134" xr:uid="{00000000-0005-0000-0000-00006C070000}"/>
    <cellStyle name="Moneda 2 3 2 5 3" xfId="1135" xr:uid="{00000000-0005-0000-0000-00006D070000}"/>
    <cellStyle name="Moneda 2 3 2 5 3 2" xfId="1136" xr:uid="{00000000-0005-0000-0000-00006E070000}"/>
    <cellStyle name="Moneda 2 3 2 5 3 2 2" xfId="1137" xr:uid="{00000000-0005-0000-0000-00006F070000}"/>
    <cellStyle name="Moneda 2 3 2 5 3 3" xfId="1138" xr:uid="{00000000-0005-0000-0000-000070070000}"/>
    <cellStyle name="Moneda 2 3 2 5 4" xfId="1139" xr:uid="{00000000-0005-0000-0000-000071070000}"/>
    <cellStyle name="Moneda 2 3 2 5 4 2" xfId="1140" xr:uid="{00000000-0005-0000-0000-000072070000}"/>
    <cellStyle name="Moneda 2 3 2 5 4 3" xfId="1141" xr:uid="{00000000-0005-0000-0000-000073070000}"/>
    <cellStyle name="Moneda 2 3 2 5 5" xfId="1142" xr:uid="{00000000-0005-0000-0000-000074070000}"/>
    <cellStyle name="Moneda 2 3 2 5 5 2" xfId="1143" xr:uid="{00000000-0005-0000-0000-000075070000}"/>
    <cellStyle name="Moneda 2 3 2 5 6" xfId="1144" xr:uid="{00000000-0005-0000-0000-000076070000}"/>
    <cellStyle name="Moneda 2 3 2 5 7" xfId="1145" xr:uid="{00000000-0005-0000-0000-000077070000}"/>
    <cellStyle name="Moneda 2 3 2 6" xfId="1146" xr:uid="{00000000-0005-0000-0000-000078070000}"/>
    <cellStyle name="Moneda 2 3 2 6 2" xfId="1147" xr:uid="{00000000-0005-0000-0000-000079070000}"/>
    <cellStyle name="Moneda 2 3 2 6 2 2" xfId="1148" xr:uid="{00000000-0005-0000-0000-00007A070000}"/>
    <cellStyle name="Moneda 2 3 2 6 2 2 2" xfId="1149" xr:uid="{00000000-0005-0000-0000-00007B070000}"/>
    <cellStyle name="Moneda 2 3 2 6 2 3" xfId="1150" xr:uid="{00000000-0005-0000-0000-00007C070000}"/>
    <cellStyle name="Moneda 2 3 2 6 3" xfId="1151" xr:uid="{00000000-0005-0000-0000-00007D070000}"/>
    <cellStyle name="Moneda 2 3 2 6 3 2" xfId="1152" xr:uid="{00000000-0005-0000-0000-00007E070000}"/>
    <cellStyle name="Moneda 2 3 2 6 3 3" xfId="1153" xr:uid="{00000000-0005-0000-0000-00007F070000}"/>
    <cellStyle name="Moneda 2 3 2 6 4" xfId="1154" xr:uid="{00000000-0005-0000-0000-000080070000}"/>
    <cellStyle name="Moneda 2 3 2 6 4 2" xfId="1155" xr:uid="{00000000-0005-0000-0000-000081070000}"/>
    <cellStyle name="Moneda 2 3 2 6 5" xfId="1156" xr:uid="{00000000-0005-0000-0000-000082070000}"/>
    <cellStyle name="Moneda 2 3 2 6 6" xfId="1157" xr:uid="{00000000-0005-0000-0000-000083070000}"/>
    <cellStyle name="Moneda 2 3 2 7" xfId="1158" xr:uid="{00000000-0005-0000-0000-000084070000}"/>
    <cellStyle name="Moneda 2 3 2 7 2" xfId="1159" xr:uid="{00000000-0005-0000-0000-000085070000}"/>
    <cellStyle name="Moneda 2 3 2 7 2 2" xfId="1160" xr:uid="{00000000-0005-0000-0000-000086070000}"/>
    <cellStyle name="Moneda 2 3 2 7 3" xfId="1161" xr:uid="{00000000-0005-0000-0000-000087070000}"/>
    <cellStyle name="Moneda 2 3 2 8" xfId="1162" xr:uid="{00000000-0005-0000-0000-000088070000}"/>
    <cellStyle name="Moneda 2 3 2 8 2" xfId="1163" xr:uid="{00000000-0005-0000-0000-000089070000}"/>
    <cellStyle name="Moneda 2 3 2 8 3" xfId="1164" xr:uid="{00000000-0005-0000-0000-00008A070000}"/>
    <cellStyle name="Moneda 2 3 2 9" xfId="1165" xr:uid="{00000000-0005-0000-0000-00008B070000}"/>
    <cellStyle name="Moneda 2 3 2 9 2" xfId="1166" xr:uid="{00000000-0005-0000-0000-00008C070000}"/>
    <cellStyle name="Moneda 2 3 3" xfId="1167" xr:uid="{00000000-0005-0000-0000-00008D070000}"/>
    <cellStyle name="Moneda 2 3 3 2" xfId="1168" xr:uid="{00000000-0005-0000-0000-00008E070000}"/>
    <cellStyle name="Moneda 2 3 3 2 2" xfId="1169" xr:uid="{00000000-0005-0000-0000-00008F070000}"/>
    <cellStyle name="Moneda 2 3 3 2 2 2" xfId="1170" xr:uid="{00000000-0005-0000-0000-000090070000}"/>
    <cellStyle name="Moneda 2 3 3 2 2 2 2" xfId="1171" xr:uid="{00000000-0005-0000-0000-000091070000}"/>
    <cellStyle name="Moneda 2 3 3 2 2 2 2 2" xfId="1172" xr:uid="{00000000-0005-0000-0000-000092070000}"/>
    <cellStyle name="Moneda 2 3 3 2 2 2 3" xfId="1173" xr:uid="{00000000-0005-0000-0000-000093070000}"/>
    <cellStyle name="Moneda 2 3 3 2 2 3" xfId="1174" xr:uid="{00000000-0005-0000-0000-000094070000}"/>
    <cellStyle name="Moneda 2 3 3 2 2 3 2" xfId="1175" xr:uid="{00000000-0005-0000-0000-000095070000}"/>
    <cellStyle name="Moneda 2 3 3 2 2 3 3" xfId="1176" xr:uid="{00000000-0005-0000-0000-000096070000}"/>
    <cellStyle name="Moneda 2 3 3 2 2 4" xfId="1177" xr:uid="{00000000-0005-0000-0000-000097070000}"/>
    <cellStyle name="Moneda 2 3 3 2 2 4 2" xfId="1178" xr:uid="{00000000-0005-0000-0000-000098070000}"/>
    <cellStyle name="Moneda 2 3 3 2 2 5" xfId="1179" xr:uid="{00000000-0005-0000-0000-000099070000}"/>
    <cellStyle name="Moneda 2 3 3 2 2 6" xfId="1180" xr:uid="{00000000-0005-0000-0000-00009A070000}"/>
    <cellStyle name="Moneda 2 3 3 2 3" xfId="1181" xr:uid="{00000000-0005-0000-0000-00009B070000}"/>
    <cellStyle name="Moneda 2 3 3 2 3 2" xfId="1182" xr:uid="{00000000-0005-0000-0000-00009C070000}"/>
    <cellStyle name="Moneda 2 3 3 2 3 2 2" xfId="1183" xr:uid="{00000000-0005-0000-0000-00009D070000}"/>
    <cellStyle name="Moneda 2 3 3 2 3 3" xfId="1184" xr:uid="{00000000-0005-0000-0000-00009E070000}"/>
    <cellStyle name="Moneda 2 3 3 2 4" xfId="1185" xr:uid="{00000000-0005-0000-0000-00009F070000}"/>
    <cellStyle name="Moneda 2 3 3 2 4 2" xfId="1186" xr:uid="{00000000-0005-0000-0000-0000A0070000}"/>
    <cellStyle name="Moneda 2 3 3 2 4 3" xfId="1187" xr:uid="{00000000-0005-0000-0000-0000A1070000}"/>
    <cellStyle name="Moneda 2 3 3 2 5" xfId="1188" xr:uid="{00000000-0005-0000-0000-0000A2070000}"/>
    <cellStyle name="Moneda 2 3 3 2 5 2" xfId="1189" xr:uid="{00000000-0005-0000-0000-0000A3070000}"/>
    <cellStyle name="Moneda 2 3 3 2 6" xfId="1190" xr:uid="{00000000-0005-0000-0000-0000A4070000}"/>
    <cellStyle name="Moneda 2 3 3 2 7" xfId="1191" xr:uid="{00000000-0005-0000-0000-0000A5070000}"/>
    <cellStyle name="Moneda 2 3 3 3" xfId="1192" xr:uid="{00000000-0005-0000-0000-0000A6070000}"/>
    <cellStyle name="Moneda 2 3 3 3 2" xfId="1193" xr:uid="{00000000-0005-0000-0000-0000A7070000}"/>
    <cellStyle name="Moneda 2 3 3 3 2 2" xfId="1194" xr:uid="{00000000-0005-0000-0000-0000A8070000}"/>
    <cellStyle name="Moneda 2 3 3 3 2 2 2" xfId="1195" xr:uid="{00000000-0005-0000-0000-0000A9070000}"/>
    <cellStyle name="Moneda 2 3 3 3 2 2 3" xfId="1196" xr:uid="{00000000-0005-0000-0000-0000AA070000}"/>
    <cellStyle name="Moneda 2 3 3 3 2 3" xfId="1197" xr:uid="{00000000-0005-0000-0000-0000AB070000}"/>
    <cellStyle name="Moneda 2 3 3 3 2 4" xfId="1198" xr:uid="{00000000-0005-0000-0000-0000AC070000}"/>
    <cellStyle name="Moneda 2 3 3 3 3" xfId="1199" xr:uid="{00000000-0005-0000-0000-0000AD070000}"/>
    <cellStyle name="Moneda 2 3 3 3 3 2" xfId="1200" xr:uid="{00000000-0005-0000-0000-0000AE070000}"/>
    <cellStyle name="Moneda 2 3 3 3 3 2 2" xfId="1201" xr:uid="{00000000-0005-0000-0000-0000AF070000}"/>
    <cellStyle name="Moneda 2 3 3 3 3 3" xfId="1202" xr:uid="{00000000-0005-0000-0000-0000B0070000}"/>
    <cellStyle name="Moneda 2 3 3 3 4" xfId="1203" xr:uid="{00000000-0005-0000-0000-0000B1070000}"/>
    <cellStyle name="Moneda 2 3 3 3 4 2" xfId="1204" xr:uid="{00000000-0005-0000-0000-0000B2070000}"/>
    <cellStyle name="Moneda 2 3 3 3 4 3" xfId="1205" xr:uid="{00000000-0005-0000-0000-0000B3070000}"/>
    <cellStyle name="Moneda 2 3 3 3 5" xfId="1206" xr:uid="{00000000-0005-0000-0000-0000B4070000}"/>
    <cellStyle name="Moneda 2 3 3 3 6" xfId="1207" xr:uid="{00000000-0005-0000-0000-0000B5070000}"/>
    <cellStyle name="Moneda 2 3 3 4" xfId="1208" xr:uid="{00000000-0005-0000-0000-0000B6070000}"/>
    <cellStyle name="Moneda 2 3 3 4 2" xfId="1209" xr:uid="{00000000-0005-0000-0000-0000B7070000}"/>
    <cellStyle name="Moneda 2 3 3 4 2 2" xfId="1210" xr:uid="{00000000-0005-0000-0000-0000B8070000}"/>
    <cellStyle name="Moneda 2 3 3 4 2 2 2" xfId="1211" xr:uid="{00000000-0005-0000-0000-0000B9070000}"/>
    <cellStyle name="Moneda 2 3 3 4 2 3" xfId="1212" xr:uid="{00000000-0005-0000-0000-0000BA070000}"/>
    <cellStyle name="Moneda 2 3 3 4 2 4" xfId="1213" xr:uid="{00000000-0005-0000-0000-0000BB070000}"/>
    <cellStyle name="Moneda 2 3 3 4 3" xfId="1214" xr:uid="{00000000-0005-0000-0000-0000BC070000}"/>
    <cellStyle name="Moneda 2 3 3 4 3 2" xfId="1215" xr:uid="{00000000-0005-0000-0000-0000BD070000}"/>
    <cellStyle name="Moneda 2 3 3 4 4" xfId="1216" xr:uid="{00000000-0005-0000-0000-0000BE070000}"/>
    <cellStyle name="Moneda 2 3 3 4 5" xfId="1217" xr:uid="{00000000-0005-0000-0000-0000BF070000}"/>
    <cellStyle name="Moneda 2 3 3 5" xfId="1218" xr:uid="{00000000-0005-0000-0000-0000C0070000}"/>
    <cellStyle name="Moneda 2 3 3 5 2" xfId="1219" xr:uid="{00000000-0005-0000-0000-0000C1070000}"/>
    <cellStyle name="Moneda 2 3 3 5 2 2" xfId="1220" xr:uid="{00000000-0005-0000-0000-0000C2070000}"/>
    <cellStyle name="Moneda 2 3 3 5 2 3" xfId="1221" xr:uid="{00000000-0005-0000-0000-0000C3070000}"/>
    <cellStyle name="Moneda 2 3 3 5 3" xfId="1222" xr:uid="{00000000-0005-0000-0000-0000C4070000}"/>
    <cellStyle name="Moneda 2 3 3 5 4" xfId="1223" xr:uid="{00000000-0005-0000-0000-0000C5070000}"/>
    <cellStyle name="Moneda 2 3 3 6" xfId="1224" xr:uid="{00000000-0005-0000-0000-0000C6070000}"/>
    <cellStyle name="Moneda 2 3 3 6 2" xfId="1225" xr:uid="{00000000-0005-0000-0000-0000C7070000}"/>
    <cellStyle name="Moneda 2 3 3 6 2 2" xfId="1226" xr:uid="{00000000-0005-0000-0000-0000C8070000}"/>
    <cellStyle name="Moneda 2 3 3 6 3" xfId="1227" xr:uid="{00000000-0005-0000-0000-0000C9070000}"/>
    <cellStyle name="Moneda 2 3 3 7" xfId="1228" xr:uid="{00000000-0005-0000-0000-0000CA070000}"/>
    <cellStyle name="Moneda 2 3 3 7 2" xfId="1229" xr:uid="{00000000-0005-0000-0000-0000CB070000}"/>
    <cellStyle name="Moneda 2 3 3 8" xfId="1230" xr:uid="{00000000-0005-0000-0000-0000CC070000}"/>
    <cellStyle name="Moneda 2 3 4" xfId="1231" xr:uid="{00000000-0005-0000-0000-0000CD070000}"/>
    <cellStyle name="Moneda 2 3 4 2" xfId="1232" xr:uid="{00000000-0005-0000-0000-0000CE070000}"/>
    <cellStyle name="Moneda 2 3 4 2 2" xfId="1233" xr:uid="{00000000-0005-0000-0000-0000CF070000}"/>
    <cellStyle name="Moneda 2 3 4 2 2 2" xfId="1234" xr:uid="{00000000-0005-0000-0000-0000D0070000}"/>
    <cellStyle name="Moneda 2 3 4 2 2 2 2" xfId="1235" xr:uid="{00000000-0005-0000-0000-0000D1070000}"/>
    <cellStyle name="Moneda 2 3 4 2 2 2 2 2" xfId="1236" xr:uid="{00000000-0005-0000-0000-0000D2070000}"/>
    <cellStyle name="Moneda 2 3 4 2 2 2 3" xfId="1237" xr:uid="{00000000-0005-0000-0000-0000D3070000}"/>
    <cellStyle name="Moneda 2 3 4 2 2 3" xfId="1238" xr:uid="{00000000-0005-0000-0000-0000D4070000}"/>
    <cellStyle name="Moneda 2 3 4 2 2 3 2" xfId="1239" xr:uid="{00000000-0005-0000-0000-0000D5070000}"/>
    <cellStyle name="Moneda 2 3 4 2 2 3 3" xfId="1240" xr:uid="{00000000-0005-0000-0000-0000D6070000}"/>
    <cellStyle name="Moneda 2 3 4 2 2 4" xfId="1241" xr:uid="{00000000-0005-0000-0000-0000D7070000}"/>
    <cellStyle name="Moneda 2 3 4 2 2 4 2" xfId="1242" xr:uid="{00000000-0005-0000-0000-0000D8070000}"/>
    <cellStyle name="Moneda 2 3 4 2 2 5" xfId="1243" xr:uid="{00000000-0005-0000-0000-0000D9070000}"/>
    <cellStyle name="Moneda 2 3 4 2 2 6" xfId="1244" xr:uid="{00000000-0005-0000-0000-0000DA070000}"/>
    <cellStyle name="Moneda 2 3 4 2 3" xfId="1245" xr:uid="{00000000-0005-0000-0000-0000DB070000}"/>
    <cellStyle name="Moneda 2 3 4 2 3 2" xfId="1246" xr:uid="{00000000-0005-0000-0000-0000DC070000}"/>
    <cellStyle name="Moneda 2 3 4 2 3 2 2" xfId="1247" xr:uid="{00000000-0005-0000-0000-0000DD070000}"/>
    <cellStyle name="Moneda 2 3 4 2 3 3" xfId="1248" xr:uid="{00000000-0005-0000-0000-0000DE070000}"/>
    <cellStyle name="Moneda 2 3 4 2 4" xfId="1249" xr:uid="{00000000-0005-0000-0000-0000DF070000}"/>
    <cellStyle name="Moneda 2 3 4 2 4 2" xfId="1250" xr:uid="{00000000-0005-0000-0000-0000E0070000}"/>
    <cellStyle name="Moneda 2 3 4 2 4 3" xfId="1251" xr:uid="{00000000-0005-0000-0000-0000E1070000}"/>
    <cellStyle name="Moneda 2 3 4 2 5" xfId="1252" xr:uid="{00000000-0005-0000-0000-0000E2070000}"/>
    <cellStyle name="Moneda 2 3 4 2 5 2" xfId="1253" xr:uid="{00000000-0005-0000-0000-0000E3070000}"/>
    <cellStyle name="Moneda 2 3 4 2 6" xfId="1254" xr:uid="{00000000-0005-0000-0000-0000E4070000}"/>
    <cellStyle name="Moneda 2 3 4 2 7" xfId="1255" xr:uid="{00000000-0005-0000-0000-0000E5070000}"/>
    <cellStyle name="Moneda 2 3 4 3" xfId="1256" xr:uid="{00000000-0005-0000-0000-0000E6070000}"/>
    <cellStyle name="Moneda 2 3 4 3 2" xfId="1257" xr:uid="{00000000-0005-0000-0000-0000E7070000}"/>
    <cellStyle name="Moneda 2 3 4 3 2 2" xfId="1258" xr:uid="{00000000-0005-0000-0000-0000E8070000}"/>
    <cellStyle name="Moneda 2 3 4 3 2 2 2" xfId="1259" xr:uid="{00000000-0005-0000-0000-0000E9070000}"/>
    <cellStyle name="Moneda 2 3 4 3 2 2 3" xfId="1260" xr:uid="{00000000-0005-0000-0000-0000EA070000}"/>
    <cellStyle name="Moneda 2 3 4 3 2 3" xfId="1261" xr:uid="{00000000-0005-0000-0000-0000EB070000}"/>
    <cellStyle name="Moneda 2 3 4 3 2 4" xfId="1262" xr:uid="{00000000-0005-0000-0000-0000EC070000}"/>
    <cellStyle name="Moneda 2 3 4 3 3" xfId="1263" xr:uid="{00000000-0005-0000-0000-0000ED070000}"/>
    <cellStyle name="Moneda 2 3 4 3 3 2" xfId="1264" xr:uid="{00000000-0005-0000-0000-0000EE070000}"/>
    <cellStyle name="Moneda 2 3 4 3 3 2 2" xfId="1265" xr:uid="{00000000-0005-0000-0000-0000EF070000}"/>
    <cellStyle name="Moneda 2 3 4 3 3 3" xfId="1266" xr:uid="{00000000-0005-0000-0000-0000F0070000}"/>
    <cellStyle name="Moneda 2 3 4 3 4" xfId="1267" xr:uid="{00000000-0005-0000-0000-0000F1070000}"/>
    <cellStyle name="Moneda 2 3 4 3 4 2" xfId="1268" xr:uid="{00000000-0005-0000-0000-0000F2070000}"/>
    <cellStyle name="Moneda 2 3 4 3 4 3" xfId="1269" xr:uid="{00000000-0005-0000-0000-0000F3070000}"/>
    <cellStyle name="Moneda 2 3 4 3 5" xfId="1270" xr:uid="{00000000-0005-0000-0000-0000F4070000}"/>
    <cellStyle name="Moneda 2 3 4 3 6" xfId="1271" xr:uid="{00000000-0005-0000-0000-0000F5070000}"/>
    <cellStyle name="Moneda 2 3 4 4" xfId="1272" xr:uid="{00000000-0005-0000-0000-0000F6070000}"/>
    <cellStyle name="Moneda 2 3 4 4 2" xfId="1273" xr:uid="{00000000-0005-0000-0000-0000F7070000}"/>
    <cellStyle name="Moneda 2 3 4 4 2 2" xfId="1274" xr:uid="{00000000-0005-0000-0000-0000F8070000}"/>
    <cellStyle name="Moneda 2 3 4 4 2 2 2" xfId="1275" xr:uid="{00000000-0005-0000-0000-0000F9070000}"/>
    <cellStyle name="Moneda 2 3 4 4 2 3" xfId="1276" xr:uid="{00000000-0005-0000-0000-0000FA070000}"/>
    <cellStyle name="Moneda 2 3 4 4 2 4" xfId="1277" xr:uid="{00000000-0005-0000-0000-0000FB070000}"/>
    <cellStyle name="Moneda 2 3 4 4 3" xfId="1278" xr:uid="{00000000-0005-0000-0000-0000FC070000}"/>
    <cellStyle name="Moneda 2 3 4 4 3 2" xfId="1279" xr:uid="{00000000-0005-0000-0000-0000FD070000}"/>
    <cellStyle name="Moneda 2 3 4 4 4" xfId="1280" xr:uid="{00000000-0005-0000-0000-0000FE070000}"/>
    <cellStyle name="Moneda 2 3 4 4 5" xfId="1281" xr:uid="{00000000-0005-0000-0000-0000FF070000}"/>
    <cellStyle name="Moneda 2 3 4 5" xfId="1282" xr:uid="{00000000-0005-0000-0000-000000080000}"/>
    <cellStyle name="Moneda 2 3 4 5 2" xfId="1283" xr:uid="{00000000-0005-0000-0000-000001080000}"/>
    <cellStyle name="Moneda 2 3 4 5 2 2" xfId="1284" xr:uid="{00000000-0005-0000-0000-000002080000}"/>
    <cellStyle name="Moneda 2 3 4 5 2 3" xfId="1285" xr:uid="{00000000-0005-0000-0000-000003080000}"/>
    <cellStyle name="Moneda 2 3 4 5 3" xfId="1286" xr:uid="{00000000-0005-0000-0000-000004080000}"/>
    <cellStyle name="Moneda 2 3 4 5 4" xfId="1287" xr:uid="{00000000-0005-0000-0000-000005080000}"/>
    <cellStyle name="Moneda 2 3 4 6" xfId="1288" xr:uid="{00000000-0005-0000-0000-000006080000}"/>
    <cellStyle name="Moneda 2 3 4 6 2" xfId="1289" xr:uid="{00000000-0005-0000-0000-000007080000}"/>
    <cellStyle name="Moneda 2 3 4 6 2 2" xfId="1290" xr:uid="{00000000-0005-0000-0000-000008080000}"/>
    <cellStyle name="Moneda 2 3 4 6 3" xfId="1291" xr:uid="{00000000-0005-0000-0000-000009080000}"/>
    <cellStyle name="Moneda 2 3 4 7" xfId="1292" xr:uid="{00000000-0005-0000-0000-00000A080000}"/>
    <cellStyle name="Moneda 2 3 4 7 2" xfId="1293" xr:uid="{00000000-0005-0000-0000-00000B080000}"/>
    <cellStyle name="Moneda 2 3 4 8" xfId="1294" xr:uid="{00000000-0005-0000-0000-00000C080000}"/>
    <cellStyle name="Moneda 2 3 5" xfId="1295" xr:uid="{00000000-0005-0000-0000-00000D080000}"/>
    <cellStyle name="Moneda 2 3 5 2" xfId="1296" xr:uid="{00000000-0005-0000-0000-00000E080000}"/>
    <cellStyle name="Moneda 2 3 5 2 2" xfId="1297" xr:uid="{00000000-0005-0000-0000-00000F080000}"/>
    <cellStyle name="Moneda 2 3 5 2 2 2" xfId="1298" xr:uid="{00000000-0005-0000-0000-000010080000}"/>
    <cellStyle name="Moneda 2 3 5 2 2 2 2" xfId="1299" xr:uid="{00000000-0005-0000-0000-000011080000}"/>
    <cellStyle name="Moneda 2 3 5 2 2 2 3" xfId="1300" xr:uid="{00000000-0005-0000-0000-000012080000}"/>
    <cellStyle name="Moneda 2 3 5 2 2 3" xfId="1301" xr:uid="{00000000-0005-0000-0000-000013080000}"/>
    <cellStyle name="Moneda 2 3 5 2 2 3 2" xfId="1302" xr:uid="{00000000-0005-0000-0000-000014080000}"/>
    <cellStyle name="Moneda 2 3 5 2 2 4" xfId="1303" xr:uid="{00000000-0005-0000-0000-000015080000}"/>
    <cellStyle name="Moneda 2 3 5 2 2 4 2" xfId="1304" xr:uid="{00000000-0005-0000-0000-000016080000}"/>
    <cellStyle name="Moneda 2 3 5 2 2 5" xfId="1305" xr:uid="{00000000-0005-0000-0000-000017080000}"/>
    <cellStyle name="Moneda 2 3 5 2 2 6" xfId="1306" xr:uid="{00000000-0005-0000-0000-000018080000}"/>
    <cellStyle name="Moneda 2 3 5 2 3" xfId="1307" xr:uid="{00000000-0005-0000-0000-000019080000}"/>
    <cellStyle name="Moneda 2 3 5 2 3 2" xfId="1308" xr:uid="{00000000-0005-0000-0000-00001A080000}"/>
    <cellStyle name="Moneda 2 3 5 2 3 3" xfId="1309" xr:uid="{00000000-0005-0000-0000-00001B080000}"/>
    <cellStyle name="Moneda 2 3 5 2 4" xfId="1310" xr:uid="{00000000-0005-0000-0000-00001C080000}"/>
    <cellStyle name="Moneda 2 3 5 2 4 2" xfId="1311" xr:uid="{00000000-0005-0000-0000-00001D080000}"/>
    <cellStyle name="Moneda 2 3 5 2 5" xfId="1312" xr:uid="{00000000-0005-0000-0000-00001E080000}"/>
    <cellStyle name="Moneda 2 3 5 2 5 2" xfId="1313" xr:uid="{00000000-0005-0000-0000-00001F080000}"/>
    <cellStyle name="Moneda 2 3 5 2 6" xfId="1314" xr:uid="{00000000-0005-0000-0000-000020080000}"/>
    <cellStyle name="Moneda 2 3 5 2 7" xfId="1315" xr:uid="{00000000-0005-0000-0000-000021080000}"/>
    <cellStyle name="Moneda 2 3 5 3" xfId="1316" xr:uid="{00000000-0005-0000-0000-000022080000}"/>
    <cellStyle name="Moneda 2 3 5 3 2" xfId="1317" xr:uid="{00000000-0005-0000-0000-000023080000}"/>
    <cellStyle name="Moneda 2 3 5 3 2 2" xfId="1318" xr:uid="{00000000-0005-0000-0000-000024080000}"/>
    <cellStyle name="Moneda 2 3 5 3 2 3" xfId="1319" xr:uid="{00000000-0005-0000-0000-000025080000}"/>
    <cellStyle name="Moneda 2 3 5 3 3" xfId="1320" xr:uid="{00000000-0005-0000-0000-000026080000}"/>
    <cellStyle name="Moneda 2 3 5 3 3 2" xfId="1321" xr:uid="{00000000-0005-0000-0000-000027080000}"/>
    <cellStyle name="Moneda 2 3 5 3 4" xfId="1322" xr:uid="{00000000-0005-0000-0000-000028080000}"/>
    <cellStyle name="Moneda 2 3 5 3 4 2" xfId="1323" xr:uid="{00000000-0005-0000-0000-000029080000}"/>
    <cellStyle name="Moneda 2 3 5 3 5" xfId="1324" xr:uid="{00000000-0005-0000-0000-00002A080000}"/>
    <cellStyle name="Moneda 2 3 5 3 6" xfId="1325" xr:uid="{00000000-0005-0000-0000-00002B080000}"/>
    <cellStyle name="Moneda 2 3 5 4" xfId="1326" xr:uid="{00000000-0005-0000-0000-00002C080000}"/>
    <cellStyle name="Moneda 2 3 5 4 2" xfId="1327" xr:uid="{00000000-0005-0000-0000-00002D080000}"/>
    <cellStyle name="Moneda 2 3 5 4 3" xfId="1328" xr:uid="{00000000-0005-0000-0000-00002E080000}"/>
    <cellStyle name="Moneda 2 3 5 5" xfId="1329" xr:uid="{00000000-0005-0000-0000-00002F080000}"/>
    <cellStyle name="Moneda 2 3 5 5 2" xfId="1330" xr:uid="{00000000-0005-0000-0000-000030080000}"/>
    <cellStyle name="Moneda 2 3 5 6" xfId="1331" xr:uid="{00000000-0005-0000-0000-000031080000}"/>
    <cellStyle name="Moneda 2 3 5 6 2" xfId="1332" xr:uid="{00000000-0005-0000-0000-000032080000}"/>
    <cellStyle name="Moneda 2 3 5 7" xfId="1333" xr:uid="{00000000-0005-0000-0000-000033080000}"/>
    <cellStyle name="Moneda 2 3 5 8" xfId="1334" xr:uid="{00000000-0005-0000-0000-000034080000}"/>
    <cellStyle name="Moneda 2 3 6" xfId="1335" xr:uid="{00000000-0005-0000-0000-000035080000}"/>
    <cellStyle name="Moneda 2 3 6 2" xfId="1336" xr:uid="{00000000-0005-0000-0000-000036080000}"/>
    <cellStyle name="Moneda 2 3 6 2 2" xfId="1337" xr:uid="{00000000-0005-0000-0000-000037080000}"/>
    <cellStyle name="Moneda 2 3 6 2 2 2" xfId="1338" xr:uid="{00000000-0005-0000-0000-000038080000}"/>
    <cellStyle name="Moneda 2 3 6 2 2 2 2" xfId="1339" xr:uid="{00000000-0005-0000-0000-000039080000}"/>
    <cellStyle name="Moneda 2 3 6 2 2 3" xfId="1340" xr:uid="{00000000-0005-0000-0000-00003A080000}"/>
    <cellStyle name="Moneda 2 3 6 2 3" xfId="1341" xr:uid="{00000000-0005-0000-0000-00003B080000}"/>
    <cellStyle name="Moneda 2 3 6 2 3 2" xfId="1342" xr:uid="{00000000-0005-0000-0000-00003C080000}"/>
    <cellStyle name="Moneda 2 3 6 2 3 3" xfId="1343" xr:uid="{00000000-0005-0000-0000-00003D080000}"/>
    <cellStyle name="Moneda 2 3 6 2 4" xfId="1344" xr:uid="{00000000-0005-0000-0000-00003E080000}"/>
    <cellStyle name="Moneda 2 3 6 2 4 2" xfId="1345" xr:uid="{00000000-0005-0000-0000-00003F080000}"/>
    <cellStyle name="Moneda 2 3 6 2 5" xfId="1346" xr:uid="{00000000-0005-0000-0000-000040080000}"/>
    <cellStyle name="Moneda 2 3 6 2 6" xfId="1347" xr:uid="{00000000-0005-0000-0000-000041080000}"/>
    <cellStyle name="Moneda 2 3 6 3" xfId="1348" xr:uid="{00000000-0005-0000-0000-000042080000}"/>
    <cellStyle name="Moneda 2 3 6 3 2" xfId="1349" xr:uid="{00000000-0005-0000-0000-000043080000}"/>
    <cellStyle name="Moneda 2 3 6 3 2 2" xfId="1350" xr:uid="{00000000-0005-0000-0000-000044080000}"/>
    <cellStyle name="Moneda 2 3 6 3 3" xfId="1351" xr:uid="{00000000-0005-0000-0000-000045080000}"/>
    <cellStyle name="Moneda 2 3 6 4" xfId="1352" xr:uid="{00000000-0005-0000-0000-000046080000}"/>
    <cellStyle name="Moneda 2 3 6 4 2" xfId="1353" xr:uid="{00000000-0005-0000-0000-000047080000}"/>
    <cellStyle name="Moneda 2 3 6 4 3" xfId="1354" xr:uid="{00000000-0005-0000-0000-000048080000}"/>
    <cellStyle name="Moneda 2 3 6 5" xfId="1355" xr:uid="{00000000-0005-0000-0000-000049080000}"/>
    <cellStyle name="Moneda 2 3 6 5 2" xfId="1356" xr:uid="{00000000-0005-0000-0000-00004A080000}"/>
    <cellStyle name="Moneda 2 3 6 6" xfId="1357" xr:uid="{00000000-0005-0000-0000-00004B080000}"/>
    <cellStyle name="Moneda 2 3 6 7" xfId="1358" xr:uid="{00000000-0005-0000-0000-00004C080000}"/>
    <cellStyle name="Moneda 2 3 7" xfId="1359" xr:uid="{00000000-0005-0000-0000-00004D080000}"/>
    <cellStyle name="Moneda 2 3 7 2" xfId="1360" xr:uid="{00000000-0005-0000-0000-00004E080000}"/>
    <cellStyle name="Moneda 2 3 7 2 2" xfId="1361" xr:uid="{00000000-0005-0000-0000-00004F080000}"/>
    <cellStyle name="Moneda 2 3 7 2 2 2" xfId="1362" xr:uid="{00000000-0005-0000-0000-000050080000}"/>
    <cellStyle name="Moneda 2 3 7 2 2 3" xfId="1363" xr:uid="{00000000-0005-0000-0000-000051080000}"/>
    <cellStyle name="Moneda 2 3 7 2 3" xfId="1364" xr:uid="{00000000-0005-0000-0000-000052080000}"/>
    <cellStyle name="Moneda 2 3 7 2 4" xfId="1365" xr:uid="{00000000-0005-0000-0000-000053080000}"/>
    <cellStyle name="Moneda 2 3 7 3" xfId="1366" xr:uid="{00000000-0005-0000-0000-000054080000}"/>
    <cellStyle name="Moneda 2 3 7 3 2" xfId="1367" xr:uid="{00000000-0005-0000-0000-000055080000}"/>
    <cellStyle name="Moneda 2 3 7 3 2 2" xfId="1368" xr:uid="{00000000-0005-0000-0000-000056080000}"/>
    <cellStyle name="Moneda 2 3 7 3 3" xfId="1369" xr:uid="{00000000-0005-0000-0000-000057080000}"/>
    <cellStyle name="Moneda 2 3 7 4" xfId="1370" xr:uid="{00000000-0005-0000-0000-000058080000}"/>
    <cellStyle name="Moneda 2 3 7 4 2" xfId="1371" xr:uid="{00000000-0005-0000-0000-000059080000}"/>
    <cellStyle name="Moneda 2 3 7 4 3" xfId="1372" xr:uid="{00000000-0005-0000-0000-00005A080000}"/>
    <cellStyle name="Moneda 2 3 7 5" xfId="1373" xr:uid="{00000000-0005-0000-0000-00005B080000}"/>
    <cellStyle name="Moneda 2 3 7 6" xfId="1374" xr:uid="{00000000-0005-0000-0000-00005C080000}"/>
    <cellStyle name="Moneda 2 3 8" xfId="1375" xr:uid="{00000000-0005-0000-0000-00005D080000}"/>
    <cellStyle name="Moneda 2 3 8 2" xfId="1376" xr:uid="{00000000-0005-0000-0000-00005E080000}"/>
    <cellStyle name="Moneda 2 3 8 2 2" xfId="1377" xr:uid="{00000000-0005-0000-0000-00005F080000}"/>
    <cellStyle name="Moneda 2 3 8 2 3" xfId="1378" xr:uid="{00000000-0005-0000-0000-000060080000}"/>
    <cellStyle name="Moneda 2 3 8 3" xfId="1379" xr:uid="{00000000-0005-0000-0000-000061080000}"/>
    <cellStyle name="Moneda 2 3 8 4" xfId="1380" xr:uid="{00000000-0005-0000-0000-000062080000}"/>
    <cellStyle name="Moneda 2 3 9" xfId="1381" xr:uid="{00000000-0005-0000-0000-000063080000}"/>
    <cellStyle name="Moneda 2 3 9 2" xfId="1382" xr:uid="{00000000-0005-0000-0000-000064080000}"/>
    <cellStyle name="Moneda 2 3 9 2 2" xfId="1383" xr:uid="{00000000-0005-0000-0000-000065080000}"/>
    <cellStyle name="Moneda 2 3 9 3" xfId="1384" xr:uid="{00000000-0005-0000-0000-000066080000}"/>
    <cellStyle name="Moneda 2 4" xfId="1385" xr:uid="{00000000-0005-0000-0000-000067080000}"/>
    <cellStyle name="Moneda 2 4 2" xfId="1386" xr:uid="{00000000-0005-0000-0000-000068080000}"/>
    <cellStyle name="Moneda 2 5" xfId="1387" xr:uid="{00000000-0005-0000-0000-000069080000}"/>
    <cellStyle name="Moneda 2 5 2" xfId="1388" xr:uid="{00000000-0005-0000-0000-00006A080000}"/>
    <cellStyle name="Moneda 2 5 2 2" xfId="1389" xr:uid="{00000000-0005-0000-0000-00006B080000}"/>
    <cellStyle name="Moneda 2 5 3" xfId="1390" xr:uid="{00000000-0005-0000-0000-00006C080000}"/>
    <cellStyle name="Moneda 2 5 3 2" xfId="1391" xr:uid="{00000000-0005-0000-0000-00006D080000}"/>
    <cellStyle name="Moneda 2 5 4" xfId="1392" xr:uid="{00000000-0005-0000-0000-00006E080000}"/>
    <cellStyle name="Moneda 2 5 4 2" xfId="1393" xr:uid="{00000000-0005-0000-0000-00006F080000}"/>
    <cellStyle name="Moneda 2 5 5" xfId="1394" xr:uid="{00000000-0005-0000-0000-000070080000}"/>
    <cellStyle name="Moneda 2 6" xfId="1395" xr:uid="{00000000-0005-0000-0000-000071080000}"/>
    <cellStyle name="Moneda 20" xfId="1396" xr:uid="{00000000-0005-0000-0000-000072080000}"/>
    <cellStyle name="Moneda 20 2" xfId="1397" xr:uid="{00000000-0005-0000-0000-000073080000}"/>
    <cellStyle name="Moneda 20 2 2" xfId="1398" xr:uid="{00000000-0005-0000-0000-000074080000}"/>
    <cellStyle name="Moneda 20 2 2 2" xfId="1399" xr:uid="{00000000-0005-0000-0000-000075080000}"/>
    <cellStyle name="Moneda 20 2 2 2 2" xfId="1400" xr:uid="{00000000-0005-0000-0000-000076080000}"/>
    <cellStyle name="Moneda 20 2 2 3" xfId="1401" xr:uid="{00000000-0005-0000-0000-000077080000}"/>
    <cellStyle name="Moneda 20 2 2 3 2" xfId="1402" xr:uid="{00000000-0005-0000-0000-000078080000}"/>
    <cellStyle name="Moneda 20 2 2 4" xfId="1403" xr:uid="{00000000-0005-0000-0000-000079080000}"/>
    <cellStyle name="Moneda 20 2 2 4 2" xfId="1404" xr:uid="{00000000-0005-0000-0000-00007A080000}"/>
    <cellStyle name="Moneda 20 2 2 5" xfId="1405" xr:uid="{00000000-0005-0000-0000-00007B080000}"/>
    <cellStyle name="Moneda 20 2 3" xfId="1406" xr:uid="{00000000-0005-0000-0000-00007C080000}"/>
    <cellStyle name="Moneda 20 2 3 2" xfId="1407" xr:uid="{00000000-0005-0000-0000-00007D080000}"/>
    <cellStyle name="Moneda 20 2 4" xfId="1408" xr:uid="{00000000-0005-0000-0000-00007E080000}"/>
    <cellStyle name="Moneda 20 2 4 2" xfId="1409" xr:uid="{00000000-0005-0000-0000-00007F080000}"/>
    <cellStyle name="Moneda 20 2 5" xfId="1410" xr:uid="{00000000-0005-0000-0000-000080080000}"/>
    <cellStyle name="Moneda 20 2 5 2" xfId="1411" xr:uid="{00000000-0005-0000-0000-000081080000}"/>
    <cellStyle name="Moneda 20 2 6" xfId="1412" xr:uid="{00000000-0005-0000-0000-000082080000}"/>
    <cellStyle name="Moneda 20 2 7" xfId="1413" xr:uid="{00000000-0005-0000-0000-000083080000}"/>
    <cellStyle name="Moneda 20 3" xfId="1414" xr:uid="{00000000-0005-0000-0000-000084080000}"/>
    <cellStyle name="Moneda 20 3 2" xfId="1415" xr:uid="{00000000-0005-0000-0000-000085080000}"/>
    <cellStyle name="Moneda 20 3 2 2" xfId="1416" xr:uid="{00000000-0005-0000-0000-000086080000}"/>
    <cellStyle name="Moneda 20 3 3" xfId="1417" xr:uid="{00000000-0005-0000-0000-000087080000}"/>
    <cellStyle name="Moneda 20 3 3 2" xfId="1418" xr:uid="{00000000-0005-0000-0000-000088080000}"/>
    <cellStyle name="Moneda 20 3 4" xfId="1419" xr:uid="{00000000-0005-0000-0000-000089080000}"/>
    <cellStyle name="Moneda 20 3 4 2" xfId="1420" xr:uid="{00000000-0005-0000-0000-00008A080000}"/>
    <cellStyle name="Moneda 20 3 5" xfId="1421" xr:uid="{00000000-0005-0000-0000-00008B080000}"/>
    <cellStyle name="Moneda 20 4" xfId="1422" xr:uid="{00000000-0005-0000-0000-00008C080000}"/>
    <cellStyle name="Moneda 20 4 2" xfId="1423" xr:uid="{00000000-0005-0000-0000-00008D080000}"/>
    <cellStyle name="Moneda 20 5" xfId="1424" xr:uid="{00000000-0005-0000-0000-00008E080000}"/>
    <cellStyle name="Moneda 20 5 2" xfId="1425" xr:uid="{00000000-0005-0000-0000-00008F080000}"/>
    <cellStyle name="Moneda 20 6" xfId="1426" xr:uid="{00000000-0005-0000-0000-000090080000}"/>
    <cellStyle name="Moneda 20 6 2" xfId="1427" xr:uid="{00000000-0005-0000-0000-000091080000}"/>
    <cellStyle name="Moneda 20 7" xfId="1428" xr:uid="{00000000-0005-0000-0000-000092080000}"/>
    <cellStyle name="Moneda 20 8" xfId="1429" xr:uid="{00000000-0005-0000-0000-000093080000}"/>
    <cellStyle name="Moneda 21" xfId="1430" xr:uid="{00000000-0005-0000-0000-000094080000}"/>
    <cellStyle name="Moneda 21 2" xfId="1431" xr:uid="{00000000-0005-0000-0000-000095080000}"/>
    <cellStyle name="Moneda 21 2 2" xfId="1432" xr:uid="{00000000-0005-0000-0000-000096080000}"/>
    <cellStyle name="Moneda 21 2 2 2" xfId="1433" xr:uid="{00000000-0005-0000-0000-000097080000}"/>
    <cellStyle name="Moneda 21 2 2 2 2" xfId="1434" xr:uid="{00000000-0005-0000-0000-000098080000}"/>
    <cellStyle name="Moneda 21 2 2 3" xfId="1435" xr:uid="{00000000-0005-0000-0000-000099080000}"/>
    <cellStyle name="Moneda 21 2 2 3 2" xfId="1436" xr:uid="{00000000-0005-0000-0000-00009A080000}"/>
    <cellStyle name="Moneda 21 2 2 4" xfId="1437" xr:uid="{00000000-0005-0000-0000-00009B080000}"/>
    <cellStyle name="Moneda 21 2 2 4 2" xfId="1438" xr:uid="{00000000-0005-0000-0000-00009C080000}"/>
    <cellStyle name="Moneda 21 2 2 5" xfId="1439" xr:uid="{00000000-0005-0000-0000-00009D080000}"/>
    <cellStyle name="Moneda 21 2 3" xfId="1440" xr:uid="{00000000-0005-0000-0000-00009E080000}"/>
    <cellStyle name="Moneda 21 2 3 2" xfId="1441" xr:uid="{00000000-0005-0000-0000-00009F080000}"/>
    <cellStyle name="Moneda 21 2 4" xfId="1442" xr:uid="{00000000-0005-0000-0000-0000A0080000}"/>
    <cellStyle name="Moneda 21 2 4 2" xfId="1443" xr:uid="{00000000-0005-0000-0000-0000A1080000}"/>
    <cellStyle name="Moneda 21 2 5" xfId="1444" xr:uid="{00000000-0005-0000-0000-0000A2080000}"/>
    <cellStyle name="Moneda 21 2 5 2" xfId="1445" xr:uid="{00000000-0005-0000-0000-0000A3080000}"/>
    <cellStyle name="Moneda 21 2 6" xfId="1446" xr:uid="{00000000-0005-0000-0000-0000A4080000}"/>
    <cellStyle name="Moneda 21 2 7" xfId="1447" xr:uid="{00000000-0005-0000-0000-0000A5080000}"/>
    <cellStyle name="Moneda 21 3" xfId="1448" xr:uid="{00000000-0005-0000-0000-0000A6080000}"/>
    <cellStyle name="Moneda 21 3 2" xfId="1449" xr:uid="{00000000-0005-0000-0000-0000A7080000}"/>
    <cellStyle name="Moneda 21 3 2 2" xfId="1450" xr:uid="{00000000-0005-0000-0000-0000A8080000}"/>
    <cellStyle name="Moneda 21 3 3" xfId="1451" xr:uid="{00000000-0005-0000-0000-0000A9080000}"/>
    <cellStyle name="Moneda 21 3 3 2" xfId="1452" xr:uid="{00000000-0005-0000-0000-0000AA080000}"/>
    <cellStyle name="Moneda 21 3 4" xfId="1453" xr:uid="{00000000-0005-0000-0000-0000AB080000}"/>
    <cellStyle name="Moneda 21 3 4 2" xfId="1454" xr:uid="{00000000-0005-0000-0000-0000AC080000}"/>
    <cellStyle name="Moneda 21 3 5" xfId="1455" xr:uid="{00000000-0005-0000-0000-0000AD080000}"/>
    <cellStyle name="Moneda 21 4" xfId="1456" xr:uid="{00000000-0005-0000-0000-0000AE080000}"/>
    <cellStyle name="Moneda 21 4 2" xfId="1457" xr:uid="{00000000-0005-0000-0000-0000AF080000}"/>
    <cellStyle name="Moneda 21 5" xfId="1458" xr:uid="{00000000-0005-0000-0000-0000B0080000}"/>
    <cellStyle name="Moneda 21 5 2" xfId="1459" xr:uid="{00000000-0005-0000-0000-0000B1080000}"/>
    <cellStyle name="Moneda 21 6" xfId="1460" xr:uid="{00000000-0005-0000-0000-0000B2080000}"/>
    <cellStyle name="Moneda 21 6 2" xfId="1461" xr:uid="{00000000-0005-0000-0000-0000B3080000}"/>
    <cellStyle name="Moneda 21 7" xfId="1462" xr:uid="{00000000-0005-0000-0000-0000B4080000}"/>
    <cellStyle name="Moneda 21 8" xfId="1463" xr:uid="{00000000-0005-0000-0000-0000B5080000}"/>
    <cellStyle name="Moneda 22" xfId="1464" xr:uid="{00000000-0005-0000-0000-0000B6080000}"/>
    <cellStyle name="Moneda 22 2" xfId="1465" xr:uid="{00000000-0005-0000-0000-0000B7080000}"/>
    <cellStyle name="Moneda 22 2 2" xfId="1466" xr:uid="{00000000-0005-0000-0000-0000B8080000}"/>
    <cellStyle name="Moneda 22 2 2 2" xfId="1467" xr:uid="{00000000-0005-0000-0000-0000B9080000}"/>
    <cellStyle name="Moneda 22 2 2 2 2" xfId="1468" xr:uid="{00000000-0005-0000-0000-0000BA080000}"/>
    <cellStyle name="Moneda 22 2 2 3" xfId="1469" xr:uid="{00000000-0005-0000-0000-0000BB080000}"/>
    <cellStyle name="Moneda 22 2 2 3 2" xfId="1470" xr:uid="{00000000-0005-0000-0000-0000BC080000}"/>
    <cellStyle name="Moneda 22 2 2 4" xfId="1471" xr:uid="{00000000-0005-0000-0000-0000BD080000}"/>
    <cellStyle name="Moneda 22 2 2 4 2" xfId="1472" xr:uid="{00000000-0005-0000-0000-0000BE080000}"/>
    <cellStyle name="Moneda 22 2 2 5" xfId="1473" xr:uid="{00000000-0005-0000-0000-0000BF080000}"/>
    <cellStyle name="Moneda 22 2 3" xfId="1474" xr:uid="{00000000-0005-0000-0000-0000C0080000}"/>
    <cellStyle name="Moneda 22 2 3 2" xfId="1475" xr:uid="{00000000-0005-0000-0000-0000C1080000}"/>
    <cellStyle name="Moneda 22 2 4" xfId="1476" xr:uid="{00000000-0005-0000-0000-0000C2080000}"/>
    <cellStyle name="Moneda 22 2 4 2" xfId="1477" xr:uid="{00000000-0005-0000-0000-0000C3080000}"/>
    <cellStyle name="Moneda 22 2 5" xfId="1478" xr:uid="{00000000-0005-0000-0000-0000C4080000}"/>
    <cellStyle name="Moneda 22 2 5 2" xfId="1479" xr:uid="{00000000-0005-0000-0000-0000C5080000}"/>
    <cellStyle name="Moneda 22 2 6" xfId="1480" xr:uid="{00000000-0005-0000-0000-0000C6080000}"/>
    <cellStyle name="Moneda 22 3" xfId="1481" xr:uid="{00000000-0005-0000-0000-0000C7080000}"/>
    <cellStyle name="Moneda 22 3 2" xfId="1482" xr:uid="{00000000-0005-0000-0000-0000C8080000}"/>
    <cellStyle name="Moneda 22 3 2 2" xfId="1483" xr:uid="{00000000-0005-0000-0000-0000C9080000}"/>
    <cellStyle name="Moneda 22 3 3" xfId="1484" xr:uid="{00000000-0005-0000-0000-0000CA080000}"/>
    <cellStyle name="Moneda 22 3 3 2" xfId="1485" xr:uid="{00000000-0005-0000-0000-0000CB080000}"/>
    <cellStyle name="Moneda 22 3 4" xfId="1486" xr:uid="{00000000-0005-0000-0000-0000CC080000}"/>
    <cellStyle name="Moneda 22 3 4 2" xfId="1487" xr:uid="{00000000-0005-0000-0000-0000CD080000}"/>
    <cellStyle name="Moneda 22 3 5" xfId="1488" xr:uid="{00000000-0005-0000-0000-0000CE080000}"/>
    <cellStyle name="Moneda 22 4" xfId="1489" xr:uid="{00000000-0005-0000-0000-0000CF080000}"/>
    <cellStyle name="Moneda 22 4 2" xfId="1490" xr:uid="{00000000-0005-0000-0000-0000D0080000}"/>
    <cellStyle name="Moneda 22 5" xfId="1491" xr:uid="{00000000-0005-0000-0000-0000D1080000}"/>
    <cellStyle name="Moneda 22 5 2" xfId="1492" xr:uid="{00000000-0005-0000-0000-0000D2080000}"/>
    <cellStyle name="Moneda 22 6" xfId="1493" xr:uid="{00000000-0005-0000-0000-0000D3080000}"/>
    <cellStyle name="Moneda 22 6 2" xfId="1494" xr:uid="{00000000-0005-0000-0000-0000D4080000}"/>
    <cellStyle name="Moneda 22 7" xfId="1495" xr:uid="{00000000-0005-0000-0000-0000D5080000}"/>
    <cellStyle name="Moneda 22 8" xfId="1496" xr:uid="{00000000-0005-0000-0000-0000D6080000}"/>
    <cellStyle name="Moneda 23" xfId="1497" xr:uid="{00000000-0005-0000-0000-0000D7080000}"/>
    <cellStyle name="Moneda 23 2" xfId="1498" xr:uid="{00000000-0005-0000-0000-0000D8080000}"/>
    <cellStyle name="Moneda 23 2 2" xfId="1499" xr:uid="{00000000-0005-0000-0000-0000D9080000}"/>
    <cellStyle name="Moneda 23 2 2 2" xfId="1500" xr:uid="{00000000-0005-0000-0000-0000DA080000}"/>
    <cellStyle name="Moneda 23 2 3" xfId="1501" xr:uid="{00000000-0005-0000-0000-0000DB080000}"/>
    <cellStyle name="Moneda 23 2 3 2" xfId="1502" xr:uid="{00000000-0005-0000-0000-0000DC080000}"/>
    <cellStyle name="Moneda 23 2 4" xfId="1503" xr:uid="{00000000-0005-0000-0000-0000DD080000}"/>
    <cellStyle name="Moneda 23 2 4 2" xfId="1504" xr:uid="{00000000-0005-0000-0000-0000DE080000}"/>
    <cellStyle name="Moneda 23 2 5" xfId="1505" xr:uid="{00000000-0005-0000-0000-0000DF080000}"/>
    <cellStyle name="Moneda 23 3" xfId="1506" xr:uid="{00000000-0005-0000-0000-0000E0080000}"/>
    <cellStyle name="Moneda 23 3 2" xfId="1507" xr:uid="{00000000-0005-0000-0000-0000E1080000}"/>
    <cellStyle name="Moneda 23 4" xfId="1508" xr:uid="{00000000-0005-0000-0000-0000E2080000}"/>
    <cellStyle name="Moneda 23 4 2" xfId="1509" xr:uid="{00000000-0005-0000-0000-0000E3080000}"/>
    <cellStyle name="Moneda 23 5" xfId="1510" xr:uid="{00000000-0005-0000-0000-0000E4080000}"/>
    <cellStyle name="Moneda 23 5 2" xfId="1511" xr:uid="{00000000-0005-0000-0000-0000E5080000}"/>
    <cellStyle name="Moneda 23 6" xfId="1512" xr:uid="{00000000-0005-0000-0000-0000E6080000}"/>
    <cellStyle name="Moneda 23 7" xfId="1513" xr:uid="{00000000-0005-0000-0000-0000E7080000}"/>
    <cellStyle name="Moneda 24" xfId="1514" xr:uid="{00000000-0005-0000-0000-0000E8080000}"/>
    <cellStyle name="Moneda 24 2" xfId="1515" xr:uid="{00000000-0005-0000-0000-0000E9080000}"/>
    <cellStyle name="Moneda 24 2 2" xfId="1516" xr:uid="{00000000-0005-0000-0000-0000EA080000}"/>
    <cellStyle name="Moneda 24 2 2 2" xfId="1517" xr:uid="{00000000-0005-0000-0000-0000EB080000}"/>
    <cellStyle name="Moneda 24 2 3" xfId="1518" xr:uid="{00000000-0005-0000-0000-0000EC080000}"/>
    <cellStyle name="Moneda 24 2 3 2" xfId="1519" xr:uid="{00000000-0005-0000-0000-0000ED080000}"/>
    <cellStyle name="Moneda 24 2 4" xfId="1520" xr:uid="{00000000-0005-0000-0000-0000EE080000}"/>
    <cellStyle name="Moneda 24 2 4 2" xfId="1521" xr:uid="{00000000-0005-0000-0000-0000EF080000}"/>
    <cellStyle name="Moneda 24 2 5" xfId="1522" xr:uid="{00000000-0005-0000-0000-0000F0080000}"/>
    <cellStyle name="Moneda 24 3" xfId="1523" xr:uid="{00000000-0005-0000-0000-0000F1080000}"/>
    <cellStyle name="Moneda 24 3 2" xfId="1524" xr:uid="{00000000-0005-0000-0000-0000F2080000}"/>
    <cellStyle name="Moneda 24 4" xfId="1525" xr:uid="{00000000-0005-0000-0000-0000F3080000}"/>
    <cellStyle name="Moneda 24 4 2" xfId="1526" xr:uid="{00000000-0005-0000-0000-0000F4080000}"/>
    <cellStyle name="Moneda 24 5" xfId="1527" xr:uid="{00000000-0005-0000-0000-0000F5080000}"/>
    <cellStyle name="Moneda 24 5 2" xfId="1528" xr:uid="{00000000-0005-0000-0000-0000F6080000}"/>
    <cellStyle name="Moneda 24 6" xfId="1529" xr:uid="{00000000-0005-0000-0000-0000F7080000}"/>
    <cellStyle name="Moneda 24 7" xfId="1530" xr:uid="{00000000-0005-0000-0000-0000F8080000}"/>
    <cellStyle name="Moneda 25" xfId="1531" xr:uid="{00000000-0005-0000-0000-0000F9080000}"/>
    <cellStyle name="Moneda 25 2" xfId="1532" xr:uid="{00000000-0005-0000-0000-0000FA080000}"/>
    <cellStyle name="Moneda 25 2 2" xfId="1533" xr:uid="{00000000-0005-0000-0000-0000FB080000}"/>
    <cellStyle name="Moneda 25 3" xfId="1534" xr:uid="{00000000-0005-0000-0000-0000FC080000}"/>
    <cellStyle name="Moneda 25 3 2" xfId="1535" xr:uid="{00000000-0005-0000-0000-0000FD080000}"/>
    <cellStyle name="Moneda 25 4" xfId="1536" xr:uid="{00000000-0005-0000-0000-0000FE080000}"/>
    <cellStyle name="Moneda 25 4 2" xfId="1537" xr:uid="{00000000-0005-0000-0000-0000FF080000}"/>
    <cellStyle name="Moneda 25 5" xfId="1538" xr:uid="{00000000-0005-0000-0000-000000090000}"/>
    <cellStyle name="Moneda 26" xfId="1539" xr:uid="{00000000-0005-0000-0000-000001090000}"/>
    <cellStyle name="Moneda 26 2" xfId="1540" xr:uid="{00000000-0005-0000-0000-000002090000}"/>
    <cellStyle name="Moneda 26 2 2" xfId="1541" xr:uid="{00000000-0005-0000-0000-000003090000}"/>
    <cellStyle name="Moneda 26 3" xfId="1542" xr:uid="{00000000-0005-0000-0000-000004090000}"/>
    <cellStyle name="Moneda 26 3 2" xfId="1543" xr:uid="{00000000-0005-0000-0000-000005090000}"/>
    <cellStyle name="Moneda 26 4" xfId="1544" xr:uid="{00000000-0005-0000-0000-000006090000}"/>
    <cellStyle name="Moneda 26 4 2" xfId="1545" xr:uid="{00000000-0005-0000-0000-000007090000}"/>
    <cellStyle name="Moneda 26 5" xfId="1546" xr:uid="{00000000-0005-0000-0000-000008090000}"/>
    <cellStyle name="Moneda 27" xfId="1547" xr:uid="{00000000-0005-0000-0000-000009090000}"/>
    <cellStyle name="Moneda 27 2" xfId="1548" xr:uid="{00000000-0005-0000-0000-00000A090000}"/>
    <cellStyle name="Moneda 27 2 2" xfId="1549" xr:uid="{00000000-0005-0000-0000-00000B090000}"/>
    <cellStyle name="Moneda 27 3" xfId="1550" xr:uid="{00000000-0005-0000-0000-00000C090000}"/>
    <cellStyle name="Moneda 27 3 2" xfId="1551" xr:uid="{00000000-0005-0000-0000-00000D090000}"/>
    <cellStyle name="Moneda 27 4" xfId="1552" xr:uid="{00000000-0005-0000-0000-00000E090000}"/>
    <cellStyle name="Moneda 27 4 2" xfId="1553" xr:uid="{00000000-0005-0000-0000-00000F090000}"/>
    <cellStyle name="Moneda 27 5" xfId="1554" xr:uid="{00000000-0005-0000-0000-000010090000}"/>
    <cellStyle name="Moneda 28" xfId="1555" xr:uid="{00000000-0005-0000-0000-000011090000}"/>
    <cellStyle name="Moneda 28 2" xfId="1556" xr:uid="{00000000-0005-0000-0000-000012090000}"/>
    <cellStyle name="Moneda 28 2 2" xfId="1557" xr:uid="{00000000-0005-0000-0000-000013090000}"/>
    <cellStyle name="Moneda 28 3" xfId="1558" xr:uid="{00000000-0005-0000-0000-000014090000}"/>
    <cellStyle name="Moneda 28 3 2" xfId="1559" xr:uid="{00000000-0005-0000-0000-000015090000}"/>
    <cellStyle name="Moneda 28 4" xfId="1560" xr:uid="{00000000-0005-0000-0000-000016090000}"/>
    <cellStyle name="Moneda 28 4 2" xfId="1561" xr:uid="{00000000-0005-0000-0000-000017090000}"/>
    <cellStyle name="Moneda 28 5" xfId="1562" xr:uid="{00000000-0005-0000-0000-000018090000}"/>
    <cellStyle name="Moneda 29" xfId="1563" xr:uid="{00000000-0005-0000-0000-000019090000}"/>
    <cellStyle name="Moneda 29 2" xfId="1564" xr:uid="{00000000-0005-0000-0000-00001A090000}"/>
    <cellStyle name="Moneda 29 2 2" xfId="1565" xr:uid="{00000000-0005-0000-0000-00001B090000}"/>
    <cellStyle name="Moneda 29 3" xfId="1566" xr:uid="{00000000-0005-0000-0000-00001C090000}"/>
    <cellStyle name="Moneda 29 3 2" xfId="1567" xr:uid="{00000000-0005-0000-0000-00001D090000}"/>
    <cellStyle name="Moneda 29 4" xfId="1568" xr:uid="{00000000-0005-0000-0000-00001E090000}"/>
    <cellStyle name="Moneda 29 4 2" xfId="1569" xr:uid="{00000000-0005-0000-0000-00001F090000}"/>
    <cellStyle name="Moneda 29 5" xfId="1570" xr:uid="{00000000-0005-0000-0000-000020090000}"/>
    <cellStyle name="Moneda 3" xfId="14" xr:uid="{00000000-0005-0000-0000-000021090000}"/>
    <cellStyle name="Moneda 3 10" xfId="1571" xr:uid="{00000000-0005-0000-0000-000022090000}"/>
    <cellStyle name="Moneda 3 10 2" xfId="1572" xr:uid="{00000000-0005-0000-0000-000023090000}"/>
    <cellStyle name="Moneda 3 10 2 2" xfId="1573" xr:uid="{00000000-0005-0000-0000-000024090000}"/>
    <cellStyle name="Moneda 3 10 3" xfId="1574" xr:uid="{00000000-0005-0000-0000-000025090000}"/>
    <cellStyle name="Moneda 3 10 3 2" xfId="1575" xr:uid="{00000000-0005-0000-0000-000026090000}"/>
    <cellStyle name="Moneda 3 10 4" xfId="1576" xr:uid="{00000000-0005-0000-0000-000027090000}"/>
    <cellStyle name="Moneda 3 10 4 2" xfId="1577" xr:uid="{00000000-0005-0000-0000-000028090000}"/>
    <cellStyle name="Moneda 3 10 5" xfId="1578" xr:uid="{00000000-0005-0000-0000-000029090000}"/>
    <cellStyle name="Moneda 3 11" xfId="1579" xr:uid="{00000000-0005-0000-0000-00002A090000}"/>
    <cellStyle name="Moneda 3 11 2" xfId="1580" xr:uid="{00000000-0005-0000-0000-00002B090000}"/>
    <cellStyle name="Moneda 3 12" xfId="1581" xr:uid="{00000000-0005-0000-0000-00002C090000}"/>
    <cellStyle name="Moneda 3 12 2" xfId="1582" xr:uid="{00000000-0005-0000-0000-00002D090000}"/>
    <cellStyle name="Moneda 3 13" xfId="1583" xr:uid="{00000000-0005-0000-0000-00002E090000}"/>
    <cellStyle name="Moneda 3 13 2" xfId="1584" xr:uid="{00000000-0005-0000-0000-00002F090000}"/>
    <cellStyle name="Moneda 3 14" xfId="1585" xr:uid="{00000000-0005-0000-0000-000030090000}"/>
    <cellStyle name="Moneda 3 14 2" xfId="1586" xr:uid="{00000000-0005-0000-0000-000031090000}"/>
    <cellStyle name="Moneda 3 15" xfId="1587" xr:uid="{00000000-0005-0000-0000-000032090000}"/>
    <cellStyle name="Moneda 3 15 2" xfId="1588" xr:uid="{00000000-0005-0000-0000-000033090000}"/>
    <cellStyle name="Moneda 3 15 3" xfId="1589" xr:uid="{00000000-0005-0000-0000-000034090000}"/>
    <cellStyle name="Moneda 3 15 4" xfId="2913" xr:uid="{00000000-0005-0000-0000-000035090000}"/>
    <cellStyle name="Moneda 3 15 4 2" xfId="3010" xr:uid="{00000000-0005-0000-0000-000036090000}"/>
    <cellStyle name="Moneda 3 15 4 2 2" xfId="3209" xr:uid="{00000000-0005-0000-0000-000037090000}"/>
    <cellStyle name="Moneda 3 15 4 2 2 2" xfId="3703" xr:uid="{00000000-0005-0000-0000-000038090000}"/>
    <cellStyle name="Moneda 3 15 4 2 3" xfId="3505" xr:uid="{00000000-0005-0000-0000-000039090000}"/>
    <cellStyle name="Moneda 3 15 4 3" xfId="3113" xr:uid="{00000000-0005-0000-0000-00003A090000}"/>
    <cellStyle name="Moneda 3 15 4 3 2" xfId="3607" xr:uid="{00000000-0005-0000-0000-00003B090000}"/>
    <cellStyle name="Moneda 3 15 4 4" xfId="3409" xr:uid="{00000000-0005-0000-0000-00003C090000}"/>
    <cellStyle name="Moneda 3 15 5" xfId="2962" xr:uid="{00000000-0005-0000-0000-00003D090000}"/>
    <cellStyle name="Moneda 3 15 5 2" xfId="3161" xr:uid="{00000000-0005-0000-0000-00003E090000}"/>
    <cellStyle name="Moneda 3 15 5 2 2" xfId="3655" xr:uid="{00000000-0005-0000-0000-00003F090000}"/>
    <cellStyle name="Moneda 3 15 5 3" xfId="3457" xr:uid="{00000000-0005-0000-0000-000040090000}"/>
    <cellStyle name="Moneda 3 15 6" xfId="3060" xr:uid="{00000000-0005-0000-0000-000041090000}"/>
    <cellStyle name="Moneda 3 15 6 2" xfId="3554" xr:uid="{00000000-0005-0000-0000-000042090000}"/>
    <cellStyle name="Moneda 3 15 7" xfId="3262" xr:uid="{00000000-0005-0000-0000-000043090000}"/>
    <cellStyle name="Moneda 3 16" xfId="1590" xr:uid="{00000000-0005-0000-0000-000044090000}"/>
    <cellStyle name="Moneda 3 2" xfId="1591" xr:uid="{00000000-0005-0000-0000-000045090000}"/>
    <cellStyle name="Moneda 3 2 10" xfId="1592" xr:uid="{00000000-0005-0000-0000-000046090000}"/>
    <cellStyle name="Moneda 3 2 10 2" xfId="1593" xr:uid="{00000000-0005-0000-0000-000047090000}"/>
    <cellStyle name="Moneda 3 2 11" xfId="1594" xr:uid="{00000000-0005-0000-0000-000048090000}"/>
    <cellStyle name="Moneda 3 2 2" xfId="1595" xr:uid="{00000000-0005-0000-0000-000049090000}"/>
    <cellStyle name="Moneda 3 2 2 2" xfId="1596" xr:uid="{00000000-0005-0000-0000-00004A090000}"/>
    <cellStyle name="Moneda 3 2 2 2 2" xfId="1597" xr:uid="{00000000-0005-0000-0000-00004B090000}"/>
    <cellStyle name="Moneda 3 2 2 2 2 2" xfId="1598" xr:uid="{00000000-0005-0000-0000-00004C090000}"/>
    <cellStyle name="Moneda 3 2 2 2 2 2 2" xfId="1599" xr:uid="{00000000-0005-0000-0000-00004D090000}"/>
    <cellStyle name="Moneda 3 2 2 2 2 3" xfId="1600" xr:uid="{00000000-0005-0000-0000-00004E090000}"/>
    <cellStyle name="Moneda 3 2 2 2 2 3 2" xfId="1601" xr:uid="{00000000-0005-0000-0000-00004F090000}"/>
    <cellStyle name="Moneda 3 2 2 2 2 4" xfId="1602" xr:uid="{00000000-0005-0000-0000-000050090000}"/>
    <cellStyle name="Moneda 3 2 2 2 2 4 2" xfId="1603" xr:uid="{00000000-0005-0000-0000-000051090000}"/>
    <cellStyle name="Moneda 3 2 2 2 2 5" xfId="1604" xr:uid="{00000000-0005-0000-0000-000052090000}"/>
    <cellStyle name="Moneda 3 2 2 2 3" xfId="1605" xr:uid="{00000000-0005-0000-0000-000053090000}"/>
    <cellStyle name="Moneda 3 2 2 2 3 2" xfId="1606" xr:uid="{00000000-0005-0000-0000-000054090000}"/>
    <cellStyle name="Moneda 3 2 2 2 4" xfId="1607" xr:uid="{00000000-0005-0000-0000-000055090000}"/>
    <cellStyle name="Moneda 3 2 2 2 4 2" xfId="1608" xr:uid="{00000000-0005-0000-0000-000056090000}"/>
    <cellStyle name="Moneda 3 2 2 2 5" xfId="1609" xr:uid="{00000000-0005-0000-0000-000057090000}"/>
    <cellStyle name="Moneda 3 2 2 2 5 2" xfId="1610" xr:uid="{00000000-0005-0000-0000-000058090000}"/>
    <cellStyle name="Moneda 3 2 2 2 6" xfId="1611" xr:uid="{00000000-0005-0000-0000-000059090000}"/>
    <cellStyle name="Moneda 3 2 2 3" xfId="1612" xr:uid="{00000000-0005-0000-0000-00005A090000}"/>
    <cellStyle name="Moneda 3 2 2 3 2" xfId="1613" xr:uid="{00000000-0005-0000-0000-00005B090000}"/>
    <cellStyle name="Moneda 3 2 2 3 2 2" xfId="1614" xr:uid="{00000000-0005-0000-0000-00005C090000}"/>
    <cellStyle name="Moneda 3 2 2 3 2 2 2" xfId="1615" xr:uid="{00000000-0005-0000-0000-00005D090000}"/>
    <cellStyle name="Moneda 3 2 2 3 2 3" xfId="1616" xr:uid="{00000000-0005-0000-0000-00005E090000}"/>
    <cellStyle name="Moneda 3 2 2 3 3" xfId="1617" xr:uid="{00000000-0005-0000-0000-00005F090000}"/>
    <cellStyle name="Moneda 3 2 2 3 3 2" xfId="1618" xr:uid="{00000000-0005-0000-0000-000060090000}"/>
    <cellStyle name="Moneda 3 2 2 3 4" xfId="1619" xr:uid="{00000000-0005-0000-0000-000061090000}"/>
    <cellStyle name="Moneda 3 2 2 3 4 2" xfId="1620" xr:uid="{00000000-0005-0000-0000-000062090000}"/>
    <cellStyle name="Moneda 3 2 2 3 5" xfId="1621" xr:uid="{00000000-0005-0000-0000-000063090000}"/>
    <cellStyle name="Moneda 3 2 2 4" xfId="1622" xr:uid="{00000000-0005-0000-0000-000064090000}"/>
    <cellStyle name="Moneda 3 2 2 4 2" xfId="1623" xr:uid="{00000000-0005-0000-0000-000065090000}"/>
    <cellStyle name="Moneda 3 2 2 4 2 2" xfId="1624" xr:uid="{00000000-0005-0000-0000-000066090000}"/>
    <cellStyle name="Moneda 3 2 2 4 2 2 2" xfId="1625" xr:uid="{00000000-0005-0000-0000-000067090000}"/>
    <cellStyle name="Moneda 3 2 2 4 2 3" xfId="1626" xr:uid="{00000000-0005-0000-0000-000068090000}"/>
    <cellStyle name="Moneda 3 2 2 4 3" xfId="1627" xr:uid="{00000000-0005-0000-0000-000069090000}"/>
    <cellStyle name="Moneda 3 2 2 4 3 2" xfId="1628" xr:uid="{00000000-0005-0000-0000-00006A090000}"/>
    <cellStyle name="Moneda 3 2 2 4 4" xfId="1629" xr:uid="{00000000-0005-0000-0000-00006B090000}"/>
    <cellStyle name="Moneda 3 2 2 5" xfId="1630" xr:uid="{00000000-0005-0000-0000-00006C090000}"/>
    <cellStyle name="Moneda 3 2 2 5 2" xfId="1631" xr:uid="{00000000-0005-0000-0000-00006D090000}"/>
    <cellStyle name="Moneda 3 2 2 5 2 2" xfId="1632" xr:uid="{00000000-0005-0000-0000-00006E090000}"/>
    <cellStyle name="Moneda 3 2 2 5 3" xfId="1633" xr:uid="{00000000-0005-0000-0000-00006F090000}"/>
    <cellStyle name="Moneda 3 2 2 6" xfId="1634" xr:uid="{00000000-0005-0000-0000-000070090000}"/>
    <cellStyle name="Moneda 3 2 2 6 2" xfId="1635" xr:uid="{00000000-0005-0000-0000-000071090000}"/>
    <cellStyle name="Moneda 3 2 2 7" xfId="1636" xr:uid="{00000000-0005-0000-0000-000072090000}"/>
    <cellStyle name="Moneda 3 2 3" xfId="1637" xr:uid="{00000000-0005-0000-0000-000073090000}"/>
    <cellStyle name="Moneda 3 2 3 2" xfId="1638" xr:uid="{00000000-0005-0000-0000-000074090000}"/>
    <cellStyle name="Moneda 3 2 3 2 2" xfId="1639" xr:uid="{00000000-0005-0000-0000-000075090000}"/>
    <cellStyle name="Moneda 3 2 3 2 2 2" xfId="1640" xr:uid="{00000000-0005-0000-0000-000076090000}"/>
    <cellStyle name="Moneda 3 2 3 2 2 2 2" xfId="1641" xr:uid="{00000000-0005-0000-0000-000077090000}"/>
    <cellStyle name="Moneda 3 2 3 2 2 3" xfId="1642" xr:uid="{00000000-0005-0000-0000-000078090000}"/>
    <cellStyle name="Moneda 3 2 3 2 2 3 2" xfId="1643" xr:uid="{00000000-0005-0000-0000-000079090000}"/>
    <cellStyle name="Moneda 3 2 3 2 2 4" xfId="1644" xr:uid="{00000000-0005-0000-0000-00007A090000}"/>
    <cellStyle name="Moneda 3 2 3 2 2 4 2" xfId="1645" xr:uid="{00000000-0005-0000-0000-00007B090000}"/>
    <cellStyle name="Moneda 3 2 3 2 2 5" xfId="1646" xr:uid="{00000000-0005-0000-0000-00007C090000}"/>
    <cellStyle name="Moneda 3 2 3 2 3" xfId="1647" xr:uid="{00000000-0005-0000-0000-00007D090000}"/>
    <cellStyle name="Moneda 3 2 3 2 3 2" xfId="1648" xr:uid="{00000000-0005-0000-0000-00007E090000}"/>
    <cellStyle name="Moneda 3 2 3 2 4" xfId="1649" xr:uid="{00000000-0005-0000-0000-00007F090000}"/>
    <cellStyle name="Moneda 3 2 3 2 4 2" xfId="1650" xr:uid="{00000000-0005-0000-0000-000080090000}"/>
    <cellStyle name="Moneda 3 2 3 2 5" xfId="1651" xr:uid="{00000000-0005-0000-0000-000081090000}"/>
    <cellStyle name="Moneda 3 2 3 2 5 2" xfId="1652" xr:uid="{00000000-0005-0000-0000-000082090000}"/>
    <cellStyle name="Moneda 3 2 3 2 6" xfId="1653" xr:uid="{00000000-0005-0000-0000-000083090000}"/>
    <cellStyle name="Moneda 3 2 3 3" xfId="1654" xr:uid="{00000000-0005-0000-0000-000084090000}"/>
    <cellStyle name="Moneda 3 2 3 3 2" xfId="1655" xr:uid="{00000000-0005-0000-0000-000085090000}"/>
    <cellStyle name="Moneda 3 2 3 3 2 2" xfId="1656" xr:uid="{00000000-0005-0000-0000-000086090000}"/>
    <cellStyle name="Moneda 3 2 3 3 3" xfId="1657" xr:uid="{00000000-0005-0000-0000-000087090000}"/>
    <cellStyle name="Moneda 3 2 3 3 3 2" xfId="1658" xr:uid="{00000000-0005-0000-0000-000088090000}"/>
    <cellStyle name="Moneda 3 2 3 3 4" xfId="1659" xr:uid="{00000000-0005-0000-0000-000089090000}"/>
    <cellStyle name="Moneda 3 2 3 3 4 2" xfId="1660" xr:uid="{00000000-0005-0000-0000-00008A090000}"/>
    <cellStyle name="Moneda 3 2 3 3 5" xfId="1661" xr:uid="{00000000-0005-0000-0000-00008B090000}"/>
    <cellStyle name="Moneda 3 2 3 4" xfId="1662" xr:uid="{00000000-0005-0000-0000-00008C090000}"/>
    <cellStyle name="Moneda 3 2 3 4 2" xfId="1663" xr:uid="{00000000-0005-0000-0000-00008D090000}"/>
    <cellStyle name="Moneda 3 2 3 5" xfId="1664" xr:uid="{00000000-0005-0000-0000-00008E090000}"/>
    <cellStyle name="Moneda 3 2 3 5 2" xfId="1665" xr:uid="{00000000-0005-0000-0000-00008F090000}"/>
    <cellStyle name="Moneda 3 2 3 6" xfId="1666" xr:uid="{00000000-0005-0000-0000-000090090000}"/>
    <cellStyle name="Moneda 3 2 3 6 2" xfId="1667" xr:uid="{00000000-0005-0000-0000-000091090000}"/>
    <cellStyle name="Moneda 3 2 3 7" xfId="1668" xr:uid="{00000000-0005-0000-0000-000092090000}"/>
    <cellStyle name="Moneda 3 2 4" xfId="1669" xr:uid="{00000000-0005-0000-0000-000093090000}"/>
    <cellStyle name="Moneda 3 2 4 2" xfId="1670" xr:uid="{00000000-0005-0000-0000-000094090000}"/>
    <cellStyle name="Moneda 3 2 4 2 2" xfId="1671" xr:uid="{00000000-0005-0000-0000-000095090000}"/>
    <cellStyle name="Moneda 3 2 4 2 2 2" xfId="1672" xr:uid="{00000000-0005-0000-0000-000096090000}"/>
    <cellStyle name="Moneda 3 2 4 2 2 2 2" xfId="1673" xr:uid="{00000000-0005-0000-0000-000097090000}"/>
    <cellStyle name="Moneda 3 2 4 2 2 3" xfId="1674" xr:uid="{00000000-0005-0000-0000-000098090000}"/>
    <cellStyle name="Moneda 3 2 4 2 2 3 2" xfId="1675" xr:uid="{00000000-0005-0000-0000-000099090000}"/>
    <cellStyle name="Moneda 3 2 4 2 2 4" xfId="1676" xr:uid="{00000000-0005-0000-0000-00009A090000}"/>
    <cellStyle name="Moneda 3 2 4 2 2 4 2" xfId="1677" xr:uid="{00000000-0005-0000-0000-00009B090000}"/>
    <cellStyle name="Moneda 3 2 4 2 2 5" xfId="1678" xr:uid="{00000000-0005-0000-0000-00009C090000}"/>
    <cellStyle name="Moneda 3 2 4 2 3" xfId="1679" xr:uid="{00000000-0005-0000-0000-00009D090000}"/>
    <cellStyle name="Moneda 3 2 4 2 3 2" xfId="1680" xr:uid="{00000000-0005-0000-0000-00009E090000}"/>
    <cellStyle name="Moneda 3 2 4 2 4" xfId="1681" xr:uid="{00000000-0005-0000-0000-00009F090000}"/>
    <cellStyle name="Moneda 3 2 4 2 4 2" xfId="1682" xr:uid="{00000000-0005-0000-0000-0000A0090000}"/>
    <cellStyle name="Moneda 3 2 4 2 5" xfId="1683" xr:uid="{00000000-0005-0000-0000-0000A1090000}"/>
    <cellStyle name="Moneda 3 2 4 2 5 2" xfId="1684" xr:uid="{00000000-0005-0000-0000-0000A2090000}"/>
    <cellStyle name="Moneda 3 2 4 2 6" xfId="1685" xr:uid="{00000000-0005-0000-0000-0000A3090000}"/>
    <cellStyle name="Moneda 3 2 4 3" xfId="1686" xr:uid="{00000000-0005-0000-0000-0000A4090000}"/>
    <cellStyle name="Moneda 3 2 4 3 2" xfId="1687" xr:uid="{00000000-0005-0000-0000-0000A5090000}"/>
    <cellStyle name="Moneda 3 2 4 3 2 2" xfId="1688" xr:uid="{00000000-0005-0000-0000-0000A6090000}"/>
    <cellStyle name="Moneda 3 2 4 3 3" xfId="1689" xr:uid="{00000000-0005-0000-0000-0000A7090000}"/>
    <cellStyle name="Moneda 3 2 4 3 3 2" xfId="1690" xr:uid="{00000000-0005-0000-0000-0000A8090000}"/>
    <cellStyle name="Moneda 3 2 4 3 4" xfId="1691" xr:uid="{00000000-0005-0000-0000-0000A9090000}"/>
    <cellStyle name="Moneda 3 2 4 3 4 2" xfId="1692" xr:uid="{00000000-0005-0000-0000-0000AA090000}"/>
    <cellStyle name="Moneda 3 2 4 3 5" xfId="1693" xr:uid="{00000000-0005-0000-0000-0000AB090000}"/>
    <cellStyle name="Moneda 3 2 4 4" xfId="1694" xr:uid="{00000000-0005-0000-0000-0000AC090000}"/>
    <cellStyle name="Moneda 3 2 4 4 2" xfId="1695" xr:uid="{00000000-0005-0000-0000-0000AD090000}"/>
    <cellStyle name="Moneda 3 2 4 5" xfId="1696" xr:uid="{00000000-0005-0000-0000-0000AE090000}"/>
    <cellStyle name="Moneda 3 2 4 5 2" xfId="1697" xr:uid="{00000000-0005-0000-0000-0000AF090000}"/>
    <cellStyle name="Moneda 3 2 4 6" xfId="1698" xr:uid="{00000000-0005-0000-0000-0000B0090000}"/>
    <cellStyle name="Moneda 3 2 4 6 2" xfId="1699" xr:uid="{00000000-0005-0000-0000-0000B1090000}"/>
    <cellStyle name="Moneda 3 2 4 7" xfId="1700" xr:uid="{00000000-0005-0000-0000-0000B2090000}"/>
    <cellStyle name="Moneda 3 2 5" xfId="1701" xr:uid="{00000000-0005-0000-0000-0000B3090000}"/>
    <cellStyle name="Moneda 3 2 5 2" xfId="1702" xr:uid="{00000000-0005-0000-0000-0000B4090000}"/>
    <cellStyle name="Moneda 3 2 5 2 2" xfId="1703" xr:uid="{00000000-0005-0000-0000-0000B5090000}"/>
    <cellStyle name="Moneda 3 2 5 2 2 2" xfId="1704" xr:uid="{00000000-0005-0000-0000-0000B6090000}"/>
    <cellStyle name="Moneda 3 2 5 2 3" xfId="1705" xr:uid="{00000000-0005-0000-0000-0000B7090000}"/>
    <cellStyle name="Moneda 3 2 5 2 3 2" xfId="1706" xr:uid="{00000000-0005-0000-0000-0000B8090000}"/>
    <cellStyle name="Moneda 3 2 5 2 4" xfId="1707" xr:uid="{00000000-0005-0000-0000-0000B9090000}"/>
    <cellStyle name="Moneda 3 2 5 2 4 2" xfId="1708" xr:uid="{00000000-0005-0000-0000-0000BA090000}"/>
    <cellStyle name="Moneda 3 2 5 2 5" xfId="1709" xr:uid="{00000000-0005-0000-0000-0000BB090000}"/>
    <cellStyle name="Moneda 3 2 5 3" xfId="1710" xr:uid="{00000000-0005-0000-0000-0000BC090000}"/>
    <cellStyle name="Moneda 3 2 5 3 2" xfId="1711" xr:uid="{00000000-0005-0000-0000-0000BD090000}"/>
    <cellStyle name="Moneda 3 2 5 4" xfId="1712" xr:uid="{00000000-0005-0000-0000-0000BE090000}"/>
    <cellStyle name="Moneda 3 2 5 4 2" xfId="1713" xr:uid="{00000000-0005-0000-0000-0000BF090000}"/>
    <cellStyle name="Moneda 3 2 5 5" xfId="1714" xr:uid="{00000000-0005-0000-0000-0000C0090000}"/>
    <cellStyle name="Moneda 3 2 5 5 2" xfId="1715" xr:uid="{00000000-0005-0000-0000-0000C1090000}"/>
    <cellStyle name="Moneda 3 2 5 6" xfId="1716" xr:uid="{00000000-0005-0000-0000-0000C2090000}"/>
    <cellStyle name="Moneda 3 2 6" xfId="1717" xr:uid="{00000000-0005-0000-0000-0000C3090000}"/>
    <cellStyle name="Moneda 3 2 6 2" xfId="1718" xr:uid="{00000000-0005-0000-0000-0000C4090000}"/>
    <cellStyle name="Moneda 3 2 6 2 2" xfId="1719" xr:uid="{00000000-0005-0000-0000-0000C5090000}"/>
    <cellStyle name="Moneda 3 2 6 2 3" xfId="1720" xr:uid="{00000000-0005-0000-0000-0000C6090000}"/>
    <cellStyle name="Moneda 3 2 6 3" xfId="1721" xr:uid="{00000000-0005-0000-0000-0000C7090000}"/>
    <cellStyle name="Moneda 3 2 6 4" xfId="1722" xr:uid="{00000000-0005-0000-0000-0000C8090000}"/>
    <cellStyle name="Moneda 3 2 7" xfId="1723" xr:uid="{00000000-0005-0000-0000-0000C9090000}"/>
    <cellStyle name="Moneda 3 2 7 2" xfId="1724" xr:uid="{00000000-0005-0000-0000-0000CA090000}"/>
    <cellStyle name="Moneda 3 2 7 2 2" xfId="1725" xr:uid="{00000000-0005-0000-0000-0000CB090000}"/>
    <cellStyle name="Moneda 3 2 7 3" xfId="1726" xr:uid="{00000000-0005-0000-0000-0000CC090000}"/>
    <cellStyle name="Moneda 3 2 7 3 2" xfId="1727" xr:uid="{00000000-0005-0000-0000-0000CD090000}"/>
    <cellStyle name="Moneda 3 2 7 4" xfId="1728" xr:uid="{00000000-0005-0000-0000-0000CE090000}"/>
    <cellStyle name="Moneda 3 2 7 4 2" xfId="1729" xr:uid="{00000000-0005-0000-0000-0000CF090000}"/>
    <cellStyle name="Moneda 3 2 7 5" xfId="1730" xr:uid="{00000000-0005-0000-0000-0000D0090000}"/>
    <cellStyle name="Moneda 3 2 8" xfId="1731" xr:uid="{00000000-0005-0000-0000-0000D1090000}"/>
    <cellStyle name="Moneda 3 2 8 2" xfId="1732" xr:uid="{00000000-0005-0000-0000-0000D2090000}"/>
    <cellStyle name="Moneda 3 2 8 3" xfId="1733" xr:uid="{00000000-0005-0000-0000-0000D3090000}"/>
    <cellStyle name="Moneda 3 2 9" xfId="1734" xr:uid="{00000000-0005-0000-0000-0000D4090000}"/>
    <cellStyle name="Moneda 3 2 9 2" xfId="1735" xr:uid="{00000000-0005-0000-0000-0000D5090000}"/>
    <cellStyle name="Moneda 3 3" xfId="1736" xr:uid="{00000000-0005-0000-0000-0000D6090000}"/>
    <cellStyle name="Moneda 3 3 2" xfId="1737" xr:uid="{00000000-0005-0000-0000-0000D7090000}"/>
    <cellStyle name="Moneda 3 3 2 2" xfId="1738" xr:uid="{00000000-0005-0000-0000-0000D8090000}"/>
    <cellStyle name="Moneda 3 3 2 2 2" xfId="1739" xr:uid="{00000000-0005-0000-0000-0000D9090000}"/>
    <cellStyle name="Moneda 3 3 2 2 2 2" xfId="1740" xr:uid="{00000000-0005-0000-0000-0000DA090000}"/>
    <cellStyle name="Moneda 3 3 2 2 3" xfId="1741" xr:uid="{00000000-0005-0000-0000-0000DB090000}"/>
    <cellStyle name="Moneda 3 3 2 2 3 2" xfId="1742" xr:uid="{00000000-0005-0000-0000-0000DC090000}"/>
    <cellStyle name="Moneda 3 3 2 2 4" xfId="1743" xr:uid="{00000000-0005-0000-0000-0000DD090000}"/>
    <cellStyle name="Moneda 3 3 2 2 4 2" xfId="1744" xr:uid="{00000000-0005-0000-0000-0000DE090000}"/>
    <cellStyle name="Moneda 3 3 2 2 5" xfId="1745" xr:uid="{00000000-0005-0000-0000-0000DF090000}"/>
    <cellStyle name="Moneda 3 3 2 3" xfId="1746" xr:uid="{00000000-0005-0000-0000-0000E0090000}"/>
    <cellStyle name="Moneda 3 3 2 3 2" xfId="1747" xr:uid="{00000000-0005-0000-0000-0000E1090000}"/>
    <cellStyle name="Moneda 3 3 2 4" xfId="1748" xr:uid="{00000000-0005-0000-0000-0000E2090000}"/>
    <cellStyle name="Moneda 3 3 2 4 2" xfId="1749" xr:uid="{00000000-0005-0000-0000-0000E3090000}"/>
    <cellStyle name="Moneda 3 3 2 5" xfId="1750" xr:uid="{00000000-0005-0000-0000-0000E4090000}"/>
    <cellStyle name="Moneda 3 3 2 5 2" xfId="1751" xr:uid="{00000000-0005-0000-0000-0000E5090000}"/>
    <cellStyle name="Moneda 3 3 2 6" xfId="1752" xr:uid="{00000000-0005-0000-0000-0000E6090000}"/>
    <cellStyle name="Moneda 3 3 2 7" xfId="1753" xr:uid="{00000000-0005-0000-0000-0000E7090000}"/>
    <cellStyle name="Moneda 3 3 3" xfId="1754" xr:uid="{00000000-0005-0000-0000-0000E8090000}"/>
    <cellStyle name="Moneda 3 3 3 2" xfId="1755" xr:uid="{00000000-0005-0000-0000-0000E9090000}"/>
    <cellStyle name="Moneda 3 3 3 2 2" xfId="1756" xr:uid="{00000000-0005-0000-0000-0000EA090000}"/>
    <cellStyle name="Moneda 3 3 3 3" xfId="1757" xr:uid="{00000000-0005-0000-0000-0000EB090000}"/>
    <cellStyle name="Moneda 3 3 3 3 2" xfId="1758" xr:uid="{00000000-0005-0000-0000-0000EC090000}"/>
    <cellStyle name="Moneda 3 3 3 4" xfId="1759" xr:uid="{00000000-0005-0000-0000-0000ED090000}"/>
    <cellStyle name="Moneda 3 3 3 4 2" xfId="1760" xr:uid="{00000000-0005-0000-0000-0000EE090000}"/>
    <cellStyle name="Moneda 3 3 3 5" xfId="1761" xr:uid="{00000000-0005-0000-0000-0000EF090000}"/>
    <cellStyle name="Moneda 3 3 4" xfId="1762" xr:uid="{00000000-0005-0000-0000-0000F0090000}"/>
    <cellStyle name="Moneda 3 3 4 2" xfId="1763" xr:uid="{00000000-0005-0000-0000-0000F1090000}"/>
    <cellStyle name="Moneda 3 3 5" xfId="1764" xr:uid="{00000000-0005-0000-0000-0000F2090000}"/>
    <cellStyle name="Moneda 3 3 5 2" xfId="1765" xr:uid="{00000000-0005-0000-0000-0000F3090000}"/>
    <cellStyle name="Moneda 3 3 6" xfId="1766" xr:uid="{00000000-0005-0000-0000-0000F4090000}"/>
    <cellStyle name="Moneda 3 3 6 2" xfId="1767" xr:uid="{00000000-0005-0000-0000-0000F5090000}"/>
    <cellStyle name="Moneda 3 3 7" xfId="1768" xr:uid="{00000000-0005-0000-0000-0000F6090000}"/>
    <cellStyle name="Moneda 3 3 8" xfId="1769" xr:uid="{00000000-0005-0000-0000-0000F7090000}"/>
    <cellStyle name="Moneda 3 4" xfId="1770" xr:uid="{00000000-0005-0000-0000-0000F8090000}"/>
    <cellStyle name="Moneda 3 4 2" xfId="1771" xr:uid="{00000000-0005-0000-0000-0000F9090000}"/>
    <cellStyle name="Moneda 3 4 2 2" xfId="1772" xr:uid="{00000000-0005-0000-0000-0000FA090000}"/>
    <cellStyle name="Moneda 3 4 2 2 2" xfId="1773" xr:uid="{00000000-0005-0000-0000-0000FB090000}"/>
    <cellStyle name="Moneda 3 4 2 2 2 2" xfId="1774" xr:uid="{00000000-0005-0000-0000-0000FC090000}"/>
    <cellStyle name="Moneda 3 4 2 2 3" xfId="1775" xr:uid="{00000000-0005-0000-0000-0000FD090000}"/>
    <cellStyle name="Moneda 3 4 2 2 3 2" xfId="1776" xr:uid="{00000000-0005-0000-0000-0000FE090000}"/>
    <cellStyle name="Moneda 3 4 2 2 4" xfId="1777" xr:uid="{00000000-0005-0000-0000-0000FF090000}"/>
    <cellStyle name="Moneda 3 4 2 2 4 2" xfId="1778" xr:uid="{00000000-0005-0000-0000-0000000A0000}"/>
    <cellStyle name="Moneda 3 4 2 2 5" xfId="1779" xr:uid="{00000000-0005-0000-0000-0000010A0000}"/>
    <cellStyle name="Moneda 3 4 2 3" xfId="1780" xr:uid="{00000000-0005-0000-0000-0000020A0000}"/>
    <cellStyle name="Moneda 3 4 2 3 2" xfId="1781" xr:uid="{00000000-0005-0000-0000-0000030A0000}"/>
    <cellStyle name="Moneda 3 4 2 4" xfId="1782" xr:uid="{00000000-0005-0000-0000-0000040A0000}"/>
    <cellStyle name="Moneda 3 4 2 4 2" xfId="1783" xr:uid="{00000000-0005-0000-0000-0000050A0000}"/>
    <cellStyle name="Moneda 3 4 2 5" xfId="1784" xr:uid="{00000000-0005-0000-0000-0000060A0000}"/>
    <cellStyle name="Moneda 3 4 2 5 2" xfId="1785" xr:uid="{00000000-0005-0000-0000-0000070A0000}"/>
    <cellStyle name="Moneda 3 4 2 6" xfId="1786" xr:uid="{00000000-0005-0000-0000-0000080A0000}"/>
    <cellStyle name="Moneda 3 4 3" xfId="1787" xr:uid="{00000000-0005-0000-0000-0000090A0000}"/>
    <cellStyle name="Moneda 3 4 3 2" xfId="1788" xr:uid="{00000000-0005-0000-0000-00000A0A0000}"/>
    <cellStyle name="Moneda 3 4 3 2 2" xfId="1789" xr:uid="{00000000-0005-0000-0000-00000B0A0000}"/>
    <cellStyle name="Moneda 3 4 3 3" xfId="1790" xr:uid="{00000000-0005-0000-0000-00000C0A0000}"/>
    <cellStyle name="Moneda 3 4 3 3 2" xfId="1791" xr:uid="{00000000-0005-0000-0000-00000D0A0000}"/>
    <cellStyle name="Moneda 3 4 3 4" xfId="1792" xr:uid="{00000000-0005-0000-0000-00000E0A0000}"/>
    <cellStyle name="Moneda 3 4 3 4 2" xfId="1793" xr:uid="{00000000-0005-0000-0000-00000F0A0000}"/>
    <cellStyle name="Moneda 3 4 3 5" xfId="1794" xr:uid="{00000000-0005-0000-0000-0000100A0000}"/>
    <cellStyle name="Moneda 3 4 4" xfId="1795" xr:uid="{00000000-0005-0000-0000-0000110A0000}"/>
    <cellStyle name="Moneda 3 4 4 2" xfId="1796" xr:uid="{00000000-0005-0000-0000-0000120A0000}"/>
    <cellStyle name="Moneda 3 4 5" xfId="1797" xr:uid="{00000000-0005-0000-0000-0000130A0000}"/>
    <cellStyle name="Moneda 3 4 5 2" xfId="1798" xr:uid="{00000000-0005-0000-0000-0000140A0000}"/>
    <cellStyle name="Moneda 3 4 6" xfId="1799" xr:uid="{00000000-0005-0000-0000-0000150A0000}"/>
    <cellStyle name="Moneda 3 4 6 2" xfId="1800" xr:uid="{00000000-0005-0000-0000-0000160A0000}"/>
    <cellStyle name="Moneda 3 4 7" xfId="1801" xr:uid="{00000000-0005-0000-0000-0000170A0000}"/>
    <cellStyle name="Moneda 3 5" xfId="1802" xr:uid="{00000000-0005-0000-0000-0000180A0000}"/>
    <cellStyle name="Moneda 3 5 10" xfId="2963" xr:uid="{00000000-0005-0000-0000-0000190A0000}"/>
    <cellStyle name="Moneda 3 5 10 2" xfId="3162" xr:uid="{00000000-0005-0000-0000-00001A0A0000}"/>
    <cellStyle name="Moneda 3 5 10 2 2" xfId="3656" xr:uid="{00000000-0005-0000-0000-00001B0A0000}"/>
    <cellStyle name="Moneda 3 5 10 3" xfId="3458" xr:uid="{00000000-0005-0000-0000-00001C0A0000}"/>
    <cellStyle name="Moneda 3 5 11" xfId="3061" xr:uid="{00000000-0005-0000-0000-00001D0A0000}"/>
    <cellStyle name="Moneda 3 5 11 2" xfId="3555" xr:uid="{00000000-0005-0000-0000-00001E0A0000}"/>
    <cellStyle name="Moneda 3 5 12" xfId="3263" xr:uid="{00000000-0005-0000-0000-00001F0A0000}"/>
    <cellStyle name="Moneda 3 5 2" xfId="1803" xr:uid="{00000000-0005-0000-0000-0000200A0000}"/>
    <cellStyle name="Moneda 3 5 2 2" xfId="1804" xr:uid="{00000000-0005-0000-0000-0000210A0000}"/>
    <cellStyle name="Moneda 3 5 2 2 2" xfId="1805" xr:uid="{00000000-0005-0000-0000-0000220A0000}"/>
    <cellStyle name="Moneda 3 5 2 2 2 2" xfId="1806" xr:uid="{00000000-0005-0000-0000-0000230A0000}"/>
    <cellStyle name="Moneda 3 5 2 2 3" xfId="1807" xr:uid="{00000000-0005-0000-0000-0000240A0000}"/>
    <cellStyle name="Moneda 3 5 2 2 3 2" xfId="1808" xr:uid="{00000000-0005-0000-0000-0000250A0000}"/>
    <cellStyle name="Moneda 3 5 2 2 4" xfId="1809" xr:uid="{00000000-0005-0000-0000-0000260A0000}"/>
    <cellStyle name="Moneda 3 5 2 2 4 2" xfId="1810" xr:uid="{00000000-0005-0000-0000-0000270A0000}"/>
    <cellStyle name="Moneda 3 5 2 2 5" xfId="1811" xr:uid="{00000000-0005-0000-0000-0000280A0000}"/>
    <cellStyle name="Moneda 3 5 2 3" xfId="1812" xr:uid="{00000000-0005-0000-0000-0000290A0000}"/>
    <cellStyle name="Moneda 3 5 2 3 2" xfId="1813" xr:uid="{00000000-0005-0000-0000-00002A0A0000}"/>
    <cellStyle name="Moneda 3 5 2 4" xfId="1814" xr:uid="{00000000-0005-0000-0000-00002B0A0000}"/>
    <cellStyle name="Moneda 3 5 2 4 2" xfId="1815" xr:uid="{00000000-0005-0000-0000-00002C0A0000}"/>
    <cellStyle name="Moneda 3 5 2 5" xfId="1816" xr:uid="{00000000-0005-0000-0000-00002D0A0000}"/>
    <cellStyle name="Moneda 3 5 2 5 2" xfId="1817" xr:uid="{00000000-0005-0000-0000-00002E0A0000}"/>
    <cellStyle name="Moneda 3 5 2 6" xfId="1818" xr:uid="{00000000-0005-0000-0000-00002F0A0000}"/>
    <cellStyle name="Moneda 3 5 3" xfId="1819" xr:uid="{00000000-0005-0000-0000-0000300A0000}"/>
    <cellStyle name="Moneda 3 5 3 2" xfId="1820" xr:uid="{00000000-0005-0000-0000-0000310A0000}"/>
    <cellStyle name="Moneda 3 5 3 2 2" xfId="1821" xr:uid="{00000000-0005-0000-0000-0000320A0000}"/>
    <cellStyle name="Moneda 3 5 3 3" xfId="1822" xr:uid="{00000000-0005-0000-0000-0000330A0000}"/>
    <cellStyle name="Moneda 3 5 3 3 2" xfId="1823" xr:uid="{00000000-0005-0000-0000-0000340A0000}"/>
    <cellStyle name="Moneda 3 5 3 4" xfId="1824" xr:uid="{00000000-0005-0000-0000-0000350A0000}"/>
    <cellStyle name="Moneda 3 5 3 4 2" xfId="1825" xr:uid="{00000000-0005-0000-0000-0000360A0000}"/>
    <cellStyle name="Moneda 3 5 3 5" xfId="1826" xr:uid="{00000000-0005-0000-0000-0000370A0000}"/>
    <cellStyle name="Moneda 3 5 4" xfId="1827" xr:uid="{00000000-0005-0000-0000-0000380A0000}"/>
    <cellStyle name="Moneda 3 5 4 2" xfId="1828" xr:uid="{00000000-0005-0000-0000-0000390A0000}"/>
    <cellStyle name="Moneda 3 5 5" xfId="1829" xr:uid="{00000000-0005-0000-0000-00003A0A0000}"/>
    <cellStyle name="Moneda 3 5 5 2" xfId="1830" xr:uid="{00000000-0005-0000-0000-00003B0A0000}"/>
    <cellStyle name="Moneda 3 5 6" xfId="1831" xr:uid="{00000000-0005-0000-0000-00003C0A0000}"/>
    <cellStyle name="Moneda 3 5 6 2" xfId="1832" xr:uid="{00000000-0005-0000-0000-00003D0A0000}"/>
    <cellStyle name="Moneda 3 5 7" xfId="1833" xr:uid="{00000000-0005-0000-0000-00003E0A0000}"/>
    <cellStyle name="Moneda 3 5 8" xfId="1834" xr:uid="{00000000-0005-0000-0000-00003F0A0000}"/>
    <cellStyle name="Moneda 3 5 9" xfId="2914" xr:uid="{00000000-0005-0000-0000-0000400A0000}"/>
    <cellStyle name="Moneda 3 5 9 2" xfId="3011" xr:uid="{00000000-0005-0000-0000-0000410A0000}"/>
    <cellStyle name="Moneda 3 5 9 2 2" xfId="3210" xr:uid="{00000000-0005-0000-0000-0000420A0000}"/>
    <cellStyle name="Moneda 3 5 9 2 2 2" xfId="3704" xr:uid="{00000000-0005-0000-0000-0000430A0000}"/>
    <cellStyle name="Moneda 3 5 9 2 3" xfId="3506" xr:uid="{00000000-0005-0000-0000-0000440A0000}"/>
    <cellStyle name="Moneda 3 5 9 3" xfId="3114" xr:uid="{00000000-0005-0000-0000-0000450A0000}"/>
    <cellStyle name="Moneda 3 5 9 3 2" xfId="3608" xr:uid="{00000000-0005-0000-0000-0000460A0000}"/>
    <cellStyle name="Moneda 3 5 9 4" xfId="3410" xr:uid="{00000000-0005-0000-0000-0000470A0000}"/>
    <cellStyle name="Moneda 3 6" xfId="1835" xr:uid="{00000000-0005-0000-0000-0000480A0000}"/>
    <cellStyle name="Moneda 3 6 2" xfId="1836" xr:uid="{00000000-0005-0000-0000-0000490A0000}"/>
    <cellStyle name="Moneda 3 6 2 2" xfId="1837" xr:uid="{00000000-0005-0000-0000-00004A0A0000}"/>
    <cellStyle name="Moneda 3 6 2 2 2" xfId="1838" xr:uid="{00000000-0005-0000-0000-00004B0A0000}"/>
    <cellStyle name="Moneda 3 6 2 3" xfId="1839" xr:uid="{00000000-0005-0000-0000-00004C0A0000}"/>
    <cellStyle name="Moneda 3 6 3" xfId="1840" xr:uid="{00000000-0005-0000-0000-00004D0A0000}"/>
    <cellStyle name="Moneda 3 7" xfId="1841" xr:uid="{00000000-0005-0000-0000-00004E0A0000}"/>
    <cellStyle name="Moneda 3 7 2" xfId="1842" xr:uid="{00000000-0005-0000-0000-00004F0A0000}"/>
    <cellStyle name="Moneda 3 7 2 2" xfId="1843" xr:uid="{00000000-0005-0000-0000-0000500A0000}"/>
    <cellStyle name="Moneda 3 7 3" xfId="1844" xr:uid="{00000000-0005-0000-0000-0000510A0000}"/>
    <cellStyle name="Moneda 3 8" xfId="1845" xr:uid="{00000000-0005-0000-0000-0000520A0000}"/>
    <cellStyle name="Moneda 3 8 2" xfId="1846" xr:uid="{00000000-0005-0000-0000-0000530A0000}"/>
    <cellStyle name="Moneda 3 8 2 2" xfId="1847" xr:uid="{00000000-0005-0000-0000-0000540A0000}"/>
    <cellStyle name="Moneda 3 8 2 2 2" xfId="1848" xr:uid="{00000000-0005-0000-0000-0000550A0000}"/>
    <cellStyle name="Moneda 3 8 2 3" xfId="1849" xr:uid="{00000000-0005-0000-0000-0000560A0000}"/>
    <cellStyle name="Moneda 3 8 2 3 2" xfId="1850" xr:uid="{00000000-0005-0000-0000-0000570A0000}"/>
    <cellStyle name="Moneda 3 8 2 4" xfId="1851" xr:uid="{00000000-0005-0000-0000-0000580A0000}"/>
    <cellStyle name="Moneda 3 8 2 4 2" xfId="1852" xr:uid="{00000000-0005-0000-0000-0000590A0000}"/>
    <cellStyle name="Moneda 3 8 2 5" xfId="1853" xr:uid="{00000000-0005-0000-0000-00005A0A0000}"/>
    <cellStyle name="Moneda 3 8 3" xfId="1854" xr:uid="{00000000-0005-0000-0000-00005B0A0000}"/>
    <cellStyle name="Moneda 3 8 3 2" xfId="1855" xr:uid="{00000000-0005-0000-0000-00005C0A0000}"/>
    <cellStyle name="Moneda 3 8 4" xfId="1856" xr:uid="{00000000-0005-0000-0000-00005D0A0000}"/>
    <cellStyle name="Moneda 3 8 4 2" xfId="1857" xr:uid="{00000000-0005-0000-0000-00005E0A0000}"/>
    <cellStyle name="Moneda 3 8 5" xfId="1858" xr:uid="{00000000-0005-0000-0000-00005F0A0000}"/>
    <cellStyle name="Moneda 3 8 5 2" xfId="1859" xr:uid="{00000000-0005-0000-0000-0000600A0000}"/>
    <cellStyle name="Moneda 3 8 6" xfId="1860" xr:uid="{00000000-0005-0000-0000-0000610A0000}"/>
    <cellStyle name="Moneda 3 9" xfId="1861" xr:uid="{00000000-0005-0000-0000-0000620A0000}"/>
    <cellStyle name="Moneda 3 9 2" xfId="1862" xr:uid="{00000000-0005-0000-0000-0000630A0000}"/>
    <cellStyle name="Moneda 30" xfId="1863" xr:uid="{00000000-0005-0000-0000-0000640A0000}"/>
    <cellStyle name="Moneda 30 2" xfId="1864" xr:uid="{00000000-0005-0000-0000-0000650A0000}"/>
    <cellStyle name="Moneda 30 2 2" xfId="1865" xr:uid="{00000000-0005-0000-0000-0000660A0000}"/>
    <cellStyle name="Moneda 30 3" xfId="1866" xr:uid="{00000000-0005-0000-0000-0000670A0000}"/>
    <cellStyle name="Moneda 30 3 2" xfId="1867" xr:uid="{00000000-0005-0000-0000-0000680A0000}"/>
    <cellStyle name="Moneda 30 4" xfId="1868" xr:uid="{00000000-0005-0000-0000-0000690A0000}"/>
    <cellStyle name="Moneda 30 4 2" xfId="1869" xr:uid="{00000000-0005-0000-0000-00006A0A0000}"/>
    <cellStyle name="Moneda 30 5" xfId="1870" xr:uid="{00000000-0005-0000-0000-00006B0A0000}"/>
    <cellStyle name="Moneda 31" xfId="1871" xr:uid="{00000000-0005-0000-0000-00006C0A0000}"/>
    <cellStyle name="Moneda 31 2" xfId="1872" xr:uid="{00000000-0005-0000-0000-00006D0A0000}"/>
    <cellStyle name="Moneda 32" xfId="1873" xr:uid="{00000000-0005-0000-0000-00006E0A0000}"/>
    <cellStyle name="Moneda 32 2" xfId="1874" xr:uid="{00000000-0005-0000-0000-00006F0A0000}"/>
    <cellStyle name="Moneda 33" xfId="1875" xr:uid="{00000000-0005-0000-0000-0000700A0000}"/>
    <cellStyle name="Moneda 33 2" xfId="1876" xr:uid="{00000000-0005-0000-0000-0000710A0000}"/>
    <cellStyle name="Moneda 34" xfId="1877" xr:uid="{00000000-0005-0000-0000-0000720A0000}"/>
    <cellStyle name="Moneda 34 2" xfId="1878" xr:uid="{00000000-0005-0000-0000-0000730A0000}"/>
    <cellStyle name="Moneda 35" xfId="1879" xr:uid="{00000000-0005-0000-0000-0000740A0000}"/>
    <cellStyle name="Moneda 35 2" xfId="1880" xr:uid="{00000000-0005-0000-0000-0000750A0000}"/>
    <cellStyle name="Moneda 36" xfId="1881" xr:uid="{00000000-0005-0000-0000-0000760A0000}"/>
    <cellStyle name="Moneda 36 2" xfId="1882" xr:uid="{00000000-0005-0000-0000-0000770A0000}"/>
    <cellStyle name="Moneda 37" xfId="1883" xr:uid="{00000000-0005-0000-0000-0000780A0000}"/>
    <cellStyle name="Moneda 37 2" xfId="1884" xr:uid="{00000000-0005-0000-0000-0000790A0000}"/>
    <cellStyle name="Moneda 38" xfId="1885" xr:uid="{00000000-0005-0000-0000-00007A0A0000}"/>
    <cellStyle name="Moneda 38 2" xfId="1886" xr:uid="{00000000-0005-0000-0000-00007B0A0000}"/>
    <cellStyle name="Moneda 39" xfId="1887" xr:uid="{00000000-0005-0000-0000-00007C0A0000}"/>
    <cellStyle name="Moneda 39 2" xfId="1888" xr:uid="{00000000-0005-0000-0000-00007D0A0000}"/>
    <cellStyle name="Moneda 4" xfId="15" xr:uid="{00000000-0005-0000-0000-00007E0A0000}"/>
    <cellStyle name="Moneda 4 2" xfId="1889" xr:uid="{00000000-0005-0000-0000-00007F0A0000}"/>
    <cellStyle name="Moneda 4 3" xfId="1890" xr:uid="{00000000-0005-0000-0000-0000800A0000}"/>
    <cellStyle name="Moneda 4 4" xfId="1891" xr:uid="{00000000-0005-0000-0000-0000810A0000}"/>
    <cellStyle name="Moneda 40" xfId="1892" xr:uid="{00000000-0005-0000-0000-0000820A0000}"/>
    <cellStyle name="Moneda 40 2" xfId="1893" xr:uid="{00000000-0005-0000-0000-0000830A0000}"/>
    <cellStyle name="Moneda 41" xfId="1894" xr:uid="{00000000-0005-0000-0000-0000840A0000}"/>
    <cellStyle name="Moneda 41 2" xfId="1895" xr:uid="{00000000-0005-0000-0000-0000850A0000}"/>
    <cellStyle name="Moneda 42" xfId="1896" xr:uid="{00000000-0005-0000-0000-0000860A0000}"/>
    <cellStyle name="Moneda 42 2" xfId="1897" xr:uid="{00000000-0005-0000-0000-0000870A0000}"/>
    <cellStyle name="Moneda 43" xfId="1898" xr:uid="{00000000-0005-0000-0000-0000880A0000}"/>
    <cellStyle name="Moneda 43 2" xfId="1899" xr:uid="{00000000-0005-0000-0000-0000890A0000}"/>
    <cellStyle name="Moneda 44" xfId="1900" xr:uid="{00000000-0005-0000-0000-00008A0A0000}"/>
    <cellStyle name="Moneda 44 2" xfId="1901" xr:uid="{00000000-0005-0000-0000-00008B0A0000}"/>
    <cellStyle name="Moneda 45" xfId="1902" xr:uid="{00000000-0005-0000-0000-00008C0A0000}"/>
    <cellStyle name="Moneda 45 2" xfId="1903" xr:uid="{00000000-0005-0000-0000-00008D0A0000}"/>
    <cellStyle name="Moneda 46" xfId="1904" xr:uid="{00000000-0005-0000-0000-00008E0A0000}"/>
    <cellStyle name="Moneda 46 2" xfId="1905" xr:uid="{00000000-0005-0000-0000-00008F0A0000}"/>
    <cellStyle name="Moneda 47" xfId="1906" xr:uid="{00000000-0005-0000-0000-0000900A0000}"/>
    <cellStyle name="Moneda 47 2" xfId="1907" xr:uid="{00000000-0005-0000-0000-0000910A0000}"/>
    <cellStyle name="Moneda 48" xfId="1908" xr:uid="{00000000-0005-0000-0000-0000920A0000}"/>
    <cellStyle name="Moneda 48 2" xfId="1909" xr:uid="{00000000-0005-0000-0000-0000930A0000}"/>
    <cellStyle name="Moneda 49" xfId="1910" xr:uid="{00000000-0005-0000-0000-0000940A0000}"/>
    <cellStyle name="Moneda 5" xfId="1911" xr:uid="{00000000-0005-0000-0000-0000950A0000}"/>
    <cellStyle name="Moneda 5 2" xfId="1912" xr:uid="{00000000-0005-0000-0000-0000960A0000}"/>
    <cellStyle name="Moneda 5 3" xfId="1913" xr:uid="{00000000-0005-0000-0000-0000970A0000}"/>
    <cellStyle name="Moneda 5 4" xfId="1914" xr:uid="{00000000-0005-0000-0000-0000980A0000}"/>
    <cellStyle name="Moneda 5 5" xfId="1915" xr:uid="{00000000-0005-0000-0000-0000990A0000}"/>
    <cellStyle name="Moneda 50" xfId="1916" xr:uid="{00000000-0005-0000-0000-00009A0A0000}"/>
    <cellStyle name="Moneda 51" xfId="1917" xr:uid="{00000000-0005-0000-0000-00009B0A0000}"/>
    <cellStyle name="Moneda 52" xfId="1918" xr:uid="{00000000-0005-0000-0000-00009C0A0000}"/>
    <cellStyle name="Moneda 53" xfId="2867" xr:uid="{00000000-0005-0000-0000-00009D0A0000}"/>
    <cellStyle name="Moneda 54" xfId="2916" xr:uid="{00000000-0005-0000-0000-00009E0A0000}"/>
    <cellStyle name="Moneda 55" xfId="3013" xr:uid="{00000000-0005-0000-0000-00009F0A0000}"/>
    <cellStyle name="Moneda 56" xfId="3014" xr:uid="{00000000-0005-0000-0000-0000A00A0000}"/>
    <cellStyle name="Moneda 56 2" xfId="3508" xr:uid="{00000000-0005-0000-0000-0000A10A0000}"/>
    <cellStyle name="Moneda 57" xfId="3066" xr:uid="{00000000-0005-0000-0000-0000A20A0000}"/>
    <cellStyle name="Moneda 57 2" xfId="3560" xr:uid="{00000000-0005-0000-0000-0000A30A0000}"/>
    <cellStyle name="Moneda 58" xfId="3065" xr:uid="{00000000-0005-0000-0000-0000A40A0000}"/>
    <cellStyle name="Moneda 58 2" xfId="3559" xr:uid="{00000000-0005-0000-0000-0000A50A0000}"/>
    <cellStyle name="Moneda 59" xfId="3064" xr:uid="{00000000-0005-0000-0000-0000A60A0000}"/>
    <cellStyle name="Moneda 59 2" xfId="3558" xr:uid="{00000000-0005-0000-0000-0000A70A0000}"/>
    <cellStyle name="Moneda 6" xfId="1919" xr:uid="{00000000-0005-0000-0000-0000A80A0000}"/>
    <cellStyle name="Moneda 6 10" xfId="1920" xr:uid="{00000000-0005-0000-0000-0000A90A0000}"/>
    <cellStyle name="Moneda 6 10 2" xfId="1921" xr:uid="{00000000-0005-0000-0000-0000AA0A0000}"/>
    <cellStyle name="Moneda 6 11" xfId="1922" xr:uid="{00000000-0005-0000-0000-0000AB0A0000}"/>
    <cellStyle name="Moneda 6 11 2" xfId="1923" xr:uid="{00000000-0005-0000-0000-0000AC0A0000}"/>
    <cellStyle name="Moneda 6 12" xfId="1924" xr:uid="{00000000-0005-0000-0000-0000AD0A0000}"/>
    <cellStyle name="Moneda 6 2" xfId="1925" xr:uid="{00000000-0005-0000-0000-0000AE0A0000}"/>
    <cellStyle name="Moneda 6 2 10" xfId="1926" xr:uid="{00000000-0005-0000-0000-0000AF0A0000}"/>
    <cellStyle name="Moneda 6 2 11" xfId="1927" xr:uid="{00000000-0005-0000-0000-0000B00A0000}"/>
    <cellStyle name="Moneda 6 2 2" xfId="1928" xr:uid="{00000000-0005-0000-0000-0000B10A0000}"/>
    <cellStyle name="Moneda 6 2 2 2" xfId="1929" xr:uid="{00000000-0005-0000-0000-0000B20A0000}"/>
    <cellStyle name="Moneda 6 2 2 2 2" xfId="1930" xr:uid="{00000000-0005-0000-0000-0000B30A0000}"/>
    <cellStyle name="Moneda 6 2 2 2 2 2" xfId="1931" xr:uid="{00000000-0005-0000-0000-0000B40A0000}"/>
    <cellStyle name="Moneda 6 2 2 2 2 2 2" xfId="1932" xr:uid="{00000000-0005-0000-0000-0000B50A0000}"/>
    <cellStyle name="Moneda 6 2 2 2 2 3" xfId="1933" xr:uid="{00000000-0005-0000-0000-0000B60A0000}"/>
    <cellStyle name="Moneda 6 2 2 2 2 3 2" xfId="1934" xr:uid="{00000000-0005-0000-0000-0000B70A0000}"/>
    <cellStyle name="Moneda 6 2 2 2 2 4" xfId="1935" xr:uid="{00000000-0005-0000-0000-0000B80A0000}"/>
    <cellStyle name="Moneda 6 2 2 2 2 4 2" xfId="1936" xr:uid="{00000000-0005-0000-0000-0000B90A0000}"/>
    <cellStyle name="Moneda 6 2 2 2 2 5" xfId="1937" xr:uid="{00000000-0005-0000-0000-0000BA0A0000}"/>
    <cellStyle name="Moneda 6 2 2 2 3" xfId="1938" xr:uid="{00000000-0005-0000-0000-0000BB0A0000}"/>
    <cellStyle name="Moneda 6 2 2 2 3 2" xfId="1939" xr:uid="{00000000-0005-0000-0000-0000BC0A0000}"/>
    <cellStyle name="Moneda 6 2 2 2 4" xfId="1940" xr:uid="{00000000-0005-0000-0000-0000BD0A0000}"/>
    <cellStyle name="Moneda 6 2 2 2 4 2" xfId="1941" xr:uid="{00000000-0005-0000-0000-0000BE0A0000}"/>
    <cellStyle name="Moneda 6 2 2 2 5" xfId="1942" xr:uid="{00000000-0005-0000-0000-0000BF0A0000}"/>
    <cellStyle name="Moneda 6 2 2 2 5 2" xfId="1943" xr:uid="{00000000-0005-0000-0000-0000C00A0000}"/>
    <cellStyle name="Moneda 6 2 2 2 6" xfId="1944" xr:uid="{00000000-0005-0000-0000-0000C10A0000}"/>
    <cellStyle name="Moneda 6 2 2 3" xfId="1945" xr:uid="{00000000-0005-0000-0000-0000C20A0000}"/>
    <cellStyle name="Moneda 6 2 2 3 2" xfId="1946" xr:uid="{00000000-0005-0000-0000-0000C30A0000}"/>
    <cellStyle name="Moneda 6 2 2 3 2 2" xfId="1947" xr:uid="{00000000-0005-0000-0000-0000C40A0000}"/>
    <cellStyle name="Moneda 6 2 2 3 3" xfId="1948" xr:uid="{00000000-0005-0000-0000-0000C50A0000}"/>
    <cellStyle name="Moneda 6 2 2 3 3 2" xfId="1949" xr:uid="{00000000-0005-0000-0000-0000C60A0000}"/>
    <cellStyle name="Moneda 6 2 2 3 4" xfId="1950" xr:uid="{00000000-0005-0000-0000-0000C70A0000}"/>
    <cellStyle name="Moneda 6 2 2 3 4 2" xfId="1951" xr:uid="{00000000-0005-0000-0000-0000C80A0000}"/>
    <cellStyle name="Moneda 6 2 2 3 5" xfId="1952" xr:uid="{00000000-0005-0000-0000-0000C90A0000}"/>
    <cellStyle name="Moneda 6 2 2 4" xfId="1953" xr:uid="{00000000-0005-0000-0000-0000CA0A0000}"/>
    <cellStyle name="Moneda 6 2 2 4 2" xfId="1954" xr:uid="{00000000-0005-0000-0000-0000CB0A0000}"/>
    <cellStyle name="Moneda 6 2 2 5" xfId="1955" xr:uid="{00000000-0005-0000-0000-0000CC0A0000}"/>
    <cellStyle name="Moneda 6 2 2 5 2" xfId="1956" xr:uid="{00000000-0005-0000-0000-0000CD0A0000}"/>
    <cellStyle name="Moneda 6 2 2 6" xfId="1957" xr:uid="{00000000-0005-0000-0000-0000CE0A0000}"/>
    <cellStyle name="Moneda 6 2 2 6 2" xfId="1958" xr:uid="{00000000-0005-0000-0000-0000CF0A0000}"/>
    <cellStyle name="Moneda 6 2 2 7" xfId="1959" xr:uid="{00000000-0005-0000-0000-0000D00A0000}"/>
    <cellStyle name="Moneda 6 2 3" xfId="1960" xr:uid="{00000000-0005-0000-0000-0000D10A0000}"/>
    <cellStyle name="Moneda 6 2 3 2" xfId="1961" xr:uid="{00000000-0005-0000-0000-0000D20A0000}"/>
    <cellStyle name="Moneda 6 2 3 2 2" xfId="1962" xr:uid="{00000000-0005-0000-0000-0000D30A0000}"/>
    <cellStyle name="Moneda 6 2 3 2 2 2" xfId="1963" xr:uid="{00000000-0005-0000-0000-0000D40A0000}"/>
    <cellStyle name="Moneda 6 2 3 2 2 2 2" xfId="1964" xr:uid="{00000000-0005-0000-0000-0000D50A0000}"/>
    <cellStyle name="Moneda 6 2 3 2 2 3" xfId="1965" xr:uid="{00000000-0005-0000-0000-0000D60A0000}"/>
    <cellStyle name="Moneda 6 2 3 2 2 3 2" xfId="1966" xr:uid="{00000000-0005-0000-0000-0000D70A0000}"/>
    <cellStyle name="Moneda 6 2 3 2 2 4" xfId="1967" xr:uid="{00000000-0005-0000-0000-0000D80A0000}"/>
    <cellStyle name="Moneda 6 2 3 2 2 4 2" xfId="1968" xr:uid="{00000000-0005-0000-0000-0000D90A0000}"/>
    <cellStyle name="Moneda 6 2 3 2 2 5" xfId="1969" xr:uid="{00000000-0005-0000-0000-0000DA0A0000}"/>
    <cellStyle name="Moneda 6 2 3 2 3" xfId="1970" xr:uid="{00000000-0005-0000-0000-0000DB0A0000}"/>
    <cellStyle name="Moneda 6 2 3 2 3 2" xfId="1971" xr:uid="{00000000-0005-0000-0000-0000DC0A0000}"/>
    <cellStyle name="Moneda 6 2 3 2 4" xfId="1972" xr:uid="{00000000-0005-0000-0000-0000DD0A0000}"/>
    <cellStyle name="Moneda 6 2 3 2 4 2" xfId="1973" xr:uid="{00000000-0005-0000-0000-0000DE0A0000}"/>
    <cellStyle name="Moneda 6 2 3 2 5" xfId="1974" xr:uid="{00000000-0005-0000-0000-0000DF0A0000}"/>
    <cellStyle name="Moneda 6 2 3 2 5 2" xfId="1975" xr:uid="{00000000-0005-0000-0000-0000E00A0000}"/>
    <cellStyle name="Moneda 6 2 3 2 6" xfId="1976" xr:uid="{00000000-0005-0000-0000-0000E10A0000}"/>
    <cellStyle name="Moneda 6 2 3 3" xfId="1977" xr:uid="{00000000-0005-0000-0000-0000E20A0000}"/>
    <cellStyle name="Moneda 6 2 3 3 2" xfId="1978" xr:uid="{00000000-0005-0000-0000-0000E30A0000}"/>
    <cellStyle name="Moneda 6 2 3 3 2 2" xfId="1979" xr:uid="{00000000-0005-0000-0000-0000E40A0000}"/>
    <cellStyle name="Moneda 6 2 3 3 3" xfId="1980" xr:uid="{00000000-0005-0000-0000-0000E50A0000}"/>
    <cellStyle name="Moneda 6 2 3 3 3 2" xfId="1981" xr:uid="{00000000-0005-0000-0000-0000E60A0000}"/>
    <cellStyle name="Moneda 6 2 3 3 4" xfId="1982" xr:uid="{00000000-0005-0000-0000-0000E70A0000}"/>
    <cellStyle name="Moneda 6 2 3 3 4 2" xfId="1983" xr:uid="{00000000-0005-0000-0000-0000E80A0000}"/>
    <cellStyle name="Moneda 6 2 3 3 5" xfId="1984" xr:uid="{00000000-0005-0000-0000-0000E90A0000}"/>
    <cellStyle name="Moneda 6 2 3 4" xfId="1985" xr:uid="{00000000-0005-0000-0000-0000EA0A0000}"/>
    <cellStyle name="Moneda 6 2 3 4 2" xfId="1986" xr:uid="{00000000-0005-0000-0000-0000EB0A0000}"/>
    <cellStyle name="Moneda 6 2 3 5" xfId="1987" xr:uid="{00000000-0005-0000-0000-0000EC0A0000}"/>
    <cellStyle name="Moneda 6 2 3 5 2" xfId="1988" xr:uid="{00000000-0005-0000-0000-0000ED0A0000}"/>
    <cellStyle name="Moneda 6 2 3 6" xfId="1989" xr:uid="{00000000-0005-0000-0000-0000EE0A0000}"/>
    <cellStyle name="Moneda 6 2 3 6 2" xfId="1990" xr:uid="{00000000-0005-0000-0000-0000EF0A0000}"/>
    <cellStyle name="Moneda 6 2 3 7" xfId="1991" xr:uid="{00000000-0005-0000-0000-0000F00A0000}"/>
    <cellStyle name="Moneda 6 2 4" xfId="1992" xr:uid="{00000000-0005-0000-0000-0000F10A0000}"/>
    <cellStyle name="Moneda 6 2 4 2" xfId="1993" xr:uid="{00000000-0005-0000-0000-0000F20A0000}"/>
    <cellStyle name="Moneda 6 2 4 2 2" xfId="1994" xr:uid="{00000000-0005-0000-0000-0000F30A0000}"/>
    <cellStyle name="Moneda 6 2 4 2 2 2" xfId="1995" xr:uid="{00000000-0005-0000-0000-0000F40A0000}"/>
    <cellStyle name="Moneda 6 2 4 2 2 2 2" xfId="1996" xr:uid="{00000000-0005-0000-0000-0000F50A0000}"/>
    <cellStyle name="Moneda 6 2 4 2 2 3" xfId="1997" xr:uid="{00000000-0005-0000-0000-0000F60A0000}"/>
    <cellStyle name="Moneda 6 2 4 2 2 3 2" xfId="1998" xr:uid="{00000000-0005-0000-0000-0000F70A0000}"/>
    <cellStyle name="Moneda 6 2 4 2 2 4" xfId="1999" xr:uid="{00000000-0005-0000-0000-0000F80A0000}"/>
    <cellStyle name="Moneda 6 2 4 2 2 4 2" xfId="2000" xr:uid="{00000000-0005-0000-0000-0000F90A0000}"/>
    <cellStyle name="Moneda 6 2 4 2 2 5" xfId="2001" xr:uid="{00000000-0005-0000-0000-0000FA0A0000}"/>
    <cellStyle name="Moneda 6 2 4 2 3" xfId="2002" xr:uid="{00000000-0005-0000-0000-0000FB0A0000}"/>
    <cellStyle name="Moneda 6 2 4 2 3 2" xfId="2003" xr:uid="{00000000-0005-0000-0000-0000FC0A0000}"/>
    <cellStyle name="Moneda 6 2 4 2 4" xfId="2004" xr:uid="{00000000-0005-0000-0000-0000FD0A0000}"/>
    <cellStyle name="Moneda 6 2 4 2 4 2" xfId="2005" xr:uid="{00000000-0005-0000-0000-0000FE0A0000}"/>
    <cellStyle name="Moneda 6 2 4 2 5" xfId="2006" xr:uid="{00000000-0005-0000-0000-0000FF0A0000}"/>
    <cellStyle name="Moneda 6 2 4 2 5 2" xfId="2007" xr:uid="{00000000-0005-0000-0000-0000000B0000}"/>
    <cellStyle name="Moneda 6 2 4 2 6" xfId="2008" xr:uid="{00000000-0005-0000-0000-0000010B0000}"/>
    <cellStyle name="Moneda 6 2 4 3" xfId="2009" xr:uid="{00000000-0005-0000-0000-0000020B0000}"/>
    <cellStyle name="Moneda 6 2 4 3 2" xfId="2010" xr:uid="{00000000-0005-0000-0000-0000030B0000}"/>
    <cellStyle name="Moneda 6 2 4 3 2 2" xfId="2011" xr:uid="{00000000-0005-0000-0000-0000040B0000}"/>
    <cellStyle name="Moneda 6 2 4 3 3" xfId="2012" xr:uid="{00000000-0005-0000-0000-0000050B0000}"/>
    <cellStyle name="Moneda 6 2 4 3 3 2" xfId="2013" xr:uid="{00000000-0005-0000-0000-0000060B0000}"/>
    <cellStyle name="Moneda 6 2 4 3 4" xfId="2014" xr:uid="{00000000-0005-0000-0000-0000070B0000}"/>
    <cellStyle name="Moneda 6 2 4 3 4 2" xfId="2015" xr:uid="{00000000-0005-0000-0000-0000080B0000}"/>
    <cellStyle name="Moneda 6 2 4 3 5" xfId="2016" xr:uid="{00000000-0005-0000-0000-0000090B0000}"/>
    <cellStyle name="Moneda 6 2 4 4" xfId="2017" xr:uid="{00000000-0005-0000-0000-00000A0B0000}"/>
    <cellStyle name="Moneda 6 2 4 4 2" xfId="2018" xr:uid="{00000000-0005-0000-0000-00000B0B0000}"/>
    <cellStyle name="Moneda 6 2 4 5" xfId="2019" xr:uid="{00000000-0005-0000-0000-00000C0B0000}"/>
    <cellStyle name="Moneda 6 2 4 5 2" xfId="2020" xr:uid="{00000000-0005-0000-0000-00000D0B0000}"/>
    <cellStyle name="Moneda 6 2 4 6" xfId="2021" xr:uid="{00000000-0005-0000-0000-00000E0B0000}"/>
    <cellStyle name="Moneda 6 2 4 6 2" xfId="2022" xr:uid="{00000000-0005-0000-0000-00000F0B0000}"/>
    <cellStyle name="Moneda 6 2 4 7" xfId="2023" xr:uid="{00000000-0005-0000-0000-0000100B0000}"/>
    <cellStyle name="Moneda 6 2 5" xfId="2024" xr:uid="{00000000-0005-0000-0000-0000110B0000}"/>
    <cellStyle name="Moneda 6 2 5 2" xfId="2025" xr:uid="{00000000-0005-0000-0000-0000120B0000}"/>
    <cellStyle name="Moneda 6 2 5 2 2" xfId="2026" xr:uid="{00000000-0005-0000-0000-0000130B0000}"/>
    <cellStyle name="Moneda 6 2 5 2 2 2" xfId="2027" xr:uid="{00000000-0005-0000-0000-0000140B0000}"/>
    <cellStyle name="Moneda 6 2 5 2 3" xfId="2028" xr:uid="{00000000-0005-0000-0000-0000150B0000}"/>
    <cellStyle name="Moneda 6 2 5 2 3 2" xfId="2029" xr:uid="{00000000-0005-0000-0000-0000160B0000}"/>
    <cellStyle name="Moneda 6 2 5 2 4" xfId="2030" xr:uid="{00000000-0005-0000-0000-0000170B0000}"/>
    <cellStyle name="Moneda 6 2 5 2 4 2" xfId="2031" xr:uid="{00000000-0005-0000-0000-0000180B0000}"/>
    <cellStyle name="Moneda 6 2 5 2 5" xfId="2032" xr:uid="{00000000-0005-0000-0000-0000190B0000}"/>
    <cellStyle name="Moneda 6 2 5 3" xfId="2033" xr:uid="{00000000-0005-0000-0000-00001A0B0000}"/>
    <cellStyle name="Moneda 6 2 5 3 2" xfId="2034" xr:uid="{00000000-0005-0000-0000-00001B0B0000}"/>
    <cellStyle name="Moneda 6 2 5 4" xfId="2035" xr:uid="{00000000-0005-0000-0000-00001C0B0000}"/>
    <cellStyle name="Moneda 6 2 5 4 2" xfId="2036" xr:uid="{00000000-0005-0000-0000-00001D0B0000}"/>
    <cellStyle name="Moneda 6 2 5 5" xfId="2037" xr:uid="{00000000-0005-0000-0000-00001E0B0000}"/>
    <cellStyle name="Moneda 6 2 5 5 2" xfId="2038" xr:uid="{00000000-0005-0000-0000-00001F0B0000}"/>
    <cellStyle name="Moneda 6 2 5 6" xfId="2039" xr:uid="{00000000-0005-0000-0000-0000200B0000}"/>
    <cellStyle name="Moneda 6 2 6" xfId="2040" xr:uid="{00000000-0005-0000-0000-0000210B0000}"/>
    <cellStyle name="Moneda 6 2 6 2" xfId="2041" xr:uid="{00000000-0005-0000-0000-0000220B0000}"/>
    <cellStyle name="Moneda 6 2 6 2 2" xfId="2042" xr:uid="{00000000-0005-0000-0000-0000230B0000}"/>
    <cellStyle name="Moneda 6 2 6 3" xfId="2043" xr:uid="{00000000-0005-0000-0000-0000240B0000}"/>
    <cellStyle name="Moneda 6 2 6 3 2" xfId="2044" xr:uid="{00000000-0005-0000-0000-0000250B0000}"/>
    <cellStyle name="Moneda 6 2 6 4" xfId="2045" xr:uid="{00000000-0005-0000-0000-0000260B0000}"/>
    <cellStyle name="Moneda 6 2 6 4 2" xfId="2046" xr:uid="{00000000-0005-0000-0000-0000270B0000}"/>
    <cellStyle name="Moneda 6 2 6 5" xfId="2047" xr:uid="{00000000-0005-0000-0000-0000280B0000}"/>
    <cellStyle name="Moneda 6 2 7" xfId="2048" xr:uid="{00000000-0005-0000-0000-0000290B0000}"/>
    <cellStyle name="Moneda 6 2 7 2" xfId="2049" xr:uid="{00000000-0005-0000-0000-00002A0B0000}"/>
    <cellStyle name="Moneda 6 2 8" xfId="2050" xr:uid="{00000000-0005-0000-0000-00002B0B0000}"/>
    <cellStyle name="Moneda 6 2 8 2" xfId="2051" xr:uid="{00000000-0005-0000-0000-00002C0B0000}"/>
    <cellStyle name="Moneda 6 2 9" xfId="2052" xr:uid="{00000000-0005-0000-0000-00002D0B0000}"/>
    <cellStyle name="Moneda 6 2 9 2" xfId="2053" xr:uid="{00000000-0005-0000-0000-00002E0B0000}"/>
    <cellStyle name="Moneda 6 3" xfId="2054" xr:uid="{00000000-0005-0000-0000-00002F0B0000}"/>
    <cellStyle name="Moneda 6 3 2" xfId="2055" xr:uid="{00000000-0005-0000-0000-0000300B0000}"/>
    <cellStyle name="Moneda 6 3 2 2" xfId="2056" xr:uid="{00000000-0005-0000-0000-0000310B0000}"/>
    <cellStyle name="Moneda 6 3 2 2 2" xfId="2057" xr:uid="{00000000-0005-0000-0000-0000320B0000}"/>
    <cellStyle name="Moneda 6 3 2 2 2 2" xfId="2058" xr:uid="{00000000-0005-0000-0000-0000330B0000}"/>
    <cellStyle name="Moneda 6 3 2 2 3" xfId="2059" xr:uid="{00000000-0005-0000-0000-0000340B0000}"/>
    <cellStyle name="Moneda 6 3 2 2 3 2" xfId="2060" xr:uid="{00000000-0005-0000-0000-0000350B0000}"/>
    <cellStyle name="Moneda 6 3 2 2 4" xfId="2061" xr:uid="{00000000-0005-0000-0000-0000360B0000}"/>
    <cellStyle name="Moneda 6 3 2 2 4 2" xfId="2062" xr:uid="{00000000-0005-0000-0000-0000370B0000}"/>
    <cellStyle name="Moneda 6 3 2 2 5" xfId="2063" xr:uid="{00000000-0005-0000-0000-0000380B0000}"/>
    <cellStyle name="Moneda 6 3 2 3" xfId="2064" xr:uid="{00000000-0005-0000-0000-0000390B0000}"/>
    <cellStyle name="Moneda 6 3 2 3 2" xfId="2065" xr:uid="{00000000-0005-0000-0000-00003A0B0000}"/>
    <cellStyle name="Moneda 6 3 2 4" xfId="2066" xr:uid="{00000000-0005-0000-0000-00003B0B0000}"/>
    <cellStyle name="Moneda 6 3 2 4 2" xfId="2067" xr:uid="{00000000-0005-0000-0000-00003C0B0000}"/>
    <cellStyle name="Moneda 6 3 2 5" xfId="2068" xr:uid="{00000000-0005-0000-0000-00003D0B0000}"/>
    <cellStyle name="Moneda 6 3 2 5 2" xfId="2069" xr:uid="{00000000-0005-0000-0000-00003E0B0000}"/>
    <cellStyle name="Moneda 6 3 2 6" xfId="2070" xr:uid="{00000000-0005-0000-0000-00003F0B0000}"/>
    <cellStyle name="Moneda 6 3 3" xfId="2071" xr:uid="{00000000-0005-0000-0000-0000400B0000}"/>
    <cellStyle name="Moneda 6 3 3 2" xfId="2072" xr:uid="{00000000-0005-0000-0000-0000410B0000}"/>
    <cellStyle name="Moneda 6 3 3 2 2" xfId="2073" xr:uid="{00000000-0005-0000-0000-0000420B0000}"/>
    <cellStyle name="Moneda 6 3 3 3" xfId="2074" xr:uid="{00000000-0005-0000-0000-0000430B0000}"/>
    <cellStyle name="Moneda 6 3 3 3 2" xfId="2075" xr:uid="{00000000-0005-0000-0000-0000440B0000}"/>
    <cellStyle name="Moneda 6 3 3 4" xfId="2076" xr:uid="{00000000-0005-0000-0000-0000450B0000}"/>
    <cellStyle name="Moneda 6 3 3 4 2" xfId="2077" xr:uid="{00000000-0005-0000-0000-0000460B0000}"/>
    <cellStyle name="Moneda 6 3 3 5" xfId="2078" xr:uid="{00000000-0005-0000-0000-0000470B0000}"/>
    <cellStyle name="Moneda 6 3 4" xfId="2079" xr:uid="{00000000-0005-0000-0000-0000480B0000}"/>
    <cellStyle name="Moneda 6 3 4 2" xfId="2080" xr:uid="{00000000-0005-0000-0000-0000490B0000}"/>
    <cellStyle name="Moneda 6 3 5" xfId="2081" xr:uid="{00000000-0005-0000-0000-00004A0B0000}"/>
    <cellStyle name="Moneda 6 3 5 2" xfId="2082" xr:uid="{00000000-0005-0000-0000-00004B0B0000}"/>
    <cellStyle name="Moneda 6 3 6" xfId="2083" xr:uid="{00000000-0005-0000-0000-00004C0B0000}"/>
    <cellStyle name="Moneda 6 3 6 2" xfId="2084" xr:uid="{00000000-0005-0000-0000-00004D0B0000}"/>
    <cellStyle name="Moneda 6 3 7" xfId="2085" xr:uid="{00000000-0005-0000-0000-00004E0B0000}"/>
    <cellStyle name="Moneda 6 4" xfId="2086" xr:uid="{00000000-0005-0000-0000-00004F0B0000}"/>
    <cellStyle name="Moneda 6 4 2" xfId="2087" xr:uid="{00000000-0005-0000-0000-0000500B0000}"/>
    <cellStyle name="Moneda 6 4 2 2" xfId="2088" xr:uid="{00000000-0005-0000-0000-0000510B0000}"/>
    <cellStyle name="Moneda 6 4 2 2 2" xfId="2089" xr:uid="{00000000-0005-0000-0000-0000520B0000}"/>
    <cellStyle name="Moneda 6 4 2 2 2 2" xfId="2090" xr:uid="{00000000-0005-0000-0000-0000530B0000}"/>
    <cellStyle name="Moneda 6 4 2 2 3" xfId="2091" xr:uid="{00000000-0005-0000-0000-0000540B0000}"/>
    <cellStyle name="Moneda 6 4 2 2 3 2" xfId="2092" xr:uid="{00000000-0005-0000-0000-0000550B0000}"/>
    <cellStyle name="Moneda 6 4 2 2 4" xfId="2093" xr:uid="{00000000-0005-0000-0000-0000560B0000}"/>
    <cellStyle name="Moneda 6 4 2 2 4 2" xfId="2094" xr:uid="{00000000-0005-0000-0000-0000570B0000}"/>
    <cellStyle name="Moneda 6 4 2 2 5" xfId="2095" xr:uid="{00000000-0005-0000-0000-0000580B0000}"/>
    <cellStyle name="Moneda 6 4 2 3" xfId="2096" xr:uid="{00000000-0005-0000-0000-0000590B0000}"/>
    <cellStyle name="Moneda 6 4 2 3 2" xfId="2097" xr:uid="{00000000-0005-0000-0000-00005A0B0000}"/>
    <cellStyle name="Moneda 6 4 2 4" xfId="2098" xr:uid="{00000000-0005-0000-0000-00005B0B0000}"/>
    <cellStyle name="Moneda 6 4 2 4 2" xfId="2099" xr:uid="{00000000-0005-0000-0000-00005C0B0000}"/>
    <cellStyle name="Moneda 6 4 2 5" xfId="2100" xr:uid="{00000000-0005-0000-0000-00005D0B0000}"/>
    <cellStyle name="Moneda 6 4 2 5 2" xfId="2101" xr:uid="{00000000-0005-0000-0000-00005E0B0000}"/>
    <cellStyle name="Moneda 6 4 2 6" xfId="2102" xr:uid="{00000000-0005-0000-0000-00005F0B0000}"/>
    <cellStyle name="Moneda 6 4 3" xfId="2103" xr:uid="{00000000-0005-0000-0000-0000600B0000}"/>
    <cellStyle name="Moneda 6 4 3 2" xfId="2104" xr:uid="{00000000-0005-0000-0000-0000610B0000}"/>
    <cellStyle name="Moneda 6 4 3 2 2" xfId="2105" xr:uid="{00000000-0005-0000-0000-0000620B0000}"/>
    <cellStyle name="Moneda 6 4 3 3" xfId="2106" xr:uid="{00000000-0005-0000-0000-0000630B0000}"/>
    <cellStyle name="Moneda 6 4 3 3 2" xfId="2107" xr:uid="{00000000-0005-0000-0000-0000640B0000}"/>
    <cellStyle name="Moneda 6 4 3 4" xfId="2108" xr:uid="{00000000-0005-0000-0000-0000650B0000}"/>
    <cellStyle name="Moneda 6 4 3 4 2" xfId="2109" xr:uid="{00000000-0005-0000-0000-0000660B0000}"/>
    <cellStyle name="Moneda 6 4 3 5" xfId="2110" xr:uid="{00000000-0005-0000-0000-0000670B0000}"/>
    <cellStyle name="Moneda 6 4 4" xfId="2111" xr:uid="{00000000-0005-0000-0000-0000680B0000}"/>
    <cellStyle name="Moneda 6 4 4 2" xfId="2112" xr:uid="{00000000-0005-0000-0000-0000690B0000}"/>
    <cellStyle name="Moneda 6 4 5" xfId="2113" xr:uid="{00000000-0005-0000-0000-00006A0B0000}"/>
    <cellStyle name="Moneda 6 4 5 2" xfId="2114" xr:uid="{00000000-0005-0000-0000-00006B0B0000}"/>
    <cellStyle name="Moneda 6 4 6" xfId="2115" xr:uid="{00000000-0005-0000-0000-00006C0B0000}"/>
    <cellStyle name="Moneda 6 4 6 2" xfId="2116" xr:uid="{00000000-0005-0000-0000-00006D0B0000}"/>
    <cellStyle name="Moneda 6 4 7" xfId="2117" xr:uid="{00000000-0005-0000-0000-00006E0B0000}"/>
    <cellStyle name="Moneda 6 5" xfId="2118" xr:uid="{00000000-0005-0000-0000-00006F0B0000}"/>
    <cellStyle name="Moneda 6 5 2" xfId="2119" xr:uid="{00000000-0005-0000-0000-0000700B0000}"/>
    <cellStyle name="Moneda 6 5 2 2" xfId="2120" xr:uid="{00000000-0005-0000-0000-0000710B0000}"/>
    <cellStyle name="Moneda 6 5 2 2 2" xfId="2121" xr:uid="{00000000-0005-0000-0000-0000720B0000}"/>
    <cellStyle name="Moneda 6 5 2 2 2 2" xfId="2122" xr:uid="{00000000-0005-0000-0000-0000730B0000}"/>
    <cellStyle name="Moneda 6 5 2 2 3" xfId="2123" xr:uid="{00000000-0005-0000-0000-0000740B0000}"/>
    <cellStyle name="Moneda 6 5 2 2 3 2" xfId="2124" xr:uid="{00000000-0005-0000-0000-0000750B0000}"/>
    <cellStyle name="Moneda 6 5 2 2 4" xfId="2125" xr:uid="{00000000-0005-0000-0000-0000760B0000}"/>
    <cellStyle name="Moneda 6 5 2 2 4 2" xfId="2126" xr:uid="{00000000-0005-0000-0000-0000770B0000}"/>
    <cellStyle name="Moneda 6 5 2 2 5" xfId="2127" xr:uid="{00000000-0005-0000-0000-0000780B0000}"/>
    <cellStyle name="Moneda 6 5 2 3" xfId="2128" xr:uid="{00000000-0005-0000-0000-0000790B0000}"/>
    <cellStyle name="Moneda 6 5 2 3 2" xfId="2129" xr:uid="{00000000-0005-0000-0000-00007A0B0000}"/>
    <cellStyle name="Moneda 6 5 2 4" xfId="2130" xr:uid="{00000000-0005-0000-0000-00007B0B0000}"/>
    <cellStyle name="Moneda 6 5 2 4 2" xfId="2131" xr:uid="{00000000-0005-0000-0000-00007C0B0000}"/>
    <cellStyle name="Moneda 6 5 2 5" xfId="2132" xr:uid="{00000000-0005-0000-0000-00007D0B0000}"/>
    <cellStyle name="Moneda 6 5 2 5 2" xfId="2133" xr:uid="{00000000-0005-0000-0000-00007E0B0000}"/>
    <cellStyle name="Moneda 6 5 2 6" xfId="2134" xr:uid="{00000000-0005-0000-0000-00007F0B0000}"/>
    <cellStyle name="Moneda 6 5 3" xfId="2135" xr:uid="{00000000-0005-0000-0000-0000800B0000}"/>
    <cellStyle name="Moneda 6 5 3 2" xfId="2136" xr:uid="{00000000-0005-0000-0000-0000810B0000}"/>
    <cellStyle name="Moneda 6 5 3 2 2" xfId="2137" xr:uid="{00000000-0005-0000-0000-0000820B0000}"/>
    <cellStyle name="Moneda 6 5 3 3" xfId="2138" xr:uid="{00000000-0005-0000-0000-0000830B0000}"/>
    <cellStyle name="Moneda 6 5 3 3 2" xfId="2139" xr:uid="{00000000-0005-0000-0000-0000840B0000}"/>
    <cellStyle name="Moneda 6 5 3 4" xfId="2140" xr:uid="{00000000-0005-0000-0000-0000850B0000}"/>
    <cellStyle name="Moneda 6 5 3 4 2" xfId="2141" xr:uid="{00000000-0005-0000-0000-0000860B0000}"/>
    <cellStyle name="Moneda 6 5 3 5" xfId="2142" xr:uid="{00000000-0005-0000-0000-0000870B0000}"/>
    <cellStyle name="Moneda 6 5 4" xfId="2143" xr:uid="{00000000-0005-0000-0000-0000880B0000}"/>
    <cellStyle name="Moneda 6 5 4 2" xfId="2144" xr:uid="{00000000-0005-0000-0000-0000890B0000}"/>
    <cellStyle name="Moneda 6 5 5" xfId="2145" xr:uid="{00000000-0005-0000-0000-00008A0B0000}"/>
    <cellStyle name="Moneda 6 5 5 2" xfId="2146" xr:uid="{00000000-0005-0000-0000-00008B0B0000}"/>
    <cellStyle name="Moneda 6 5 6" xfId="2147" xr:uid="{00000000-0005-0000-0000-00008C0B0000}"/>
    <cellStyle name="Moneda 6 5 6 2" xfId="2148" xr:uid="{00000000-0005-0000-0000-00008D0B0000}"/>
    <cellStyle name="Moneda 6 5 7" xfId="2149" xr:uid="{00000000-0005-0000-0000-00008E0B0000}"/>
    <cellStyle name="Moneda 6 6" xfId="2150" xr:uid="{00000000-0005-0000-0000-00008F0B0000}"/>
    <cellStyle name="Moneda 6 6 2" xfId="2151" xr:uid="{00000000-0005-0000-0000-0000900B0000}"/>
    <cellStyle name="Moneda 6 6 2 2" xfId="2152" xr:uid="{00000000-0005-0000-0000-0000910B0000}"/>
    <cellStyle name="Moneda 6 6 2 2 2" xfId="2153" xr:uid="{00000000-0005-0000-0000-0000920B0000}"/>
    <cellStyle name="Moneda 6 6 2 3" xfId="2154" xr:uid="{00000000-0005-0000-0000-0000930B0000}"/>
    <cellStyle name="Moneda 6 6 2 3 2" xfId="2155" xr:uid="{00000000-0005-0000-0000-0000940B0000}"/>
    <cellStyle name="Moneda 6 6 2 4" xfId="2156" xr:uid="{00000000-0005-0000-0000-0000950B0000}"/>
    <cellStyle name="Moneda 6 6 2 4 2" xfId="2157" xr:uid="{00000000-0005-0000-0000-0000960B0000}"/>
    <cellStyle name="Moneda 6 6 2 5" xfId="2158" xr:uid="{00000000-0005-0000-0000-0000970B0000}"/>
    <cellStyle name="Moneda 6 6 3" xfId="2159" xr:uid="{00000000-0005-0000-0000-0000980B0000}"/>
    <cellStyle name="Moneda 6 6 3 2" xfId="2160" xr:uid="{00000000-0005-0000-0000-0000990B0000}"/>
    <cellStyle name="Moneda 6 6 4" xfId="2161" xr:uid="{00000000-0005-0000-0000-00009A0B0000}"/>
    <cellStyle name="Moneda 6 6 4 2" xfId="2162" xr:uid="{00000000-0005-0000-0000-00009B0B0000}"/>
    <cellStyle name="Moneda 6 6 5" xfId="2163" xr:uid="{00000000-0005-0000-0000-00009C0B0000}"/>
    <cellStyle name="Moneda 6 6 5 2" xfId="2164" xr:uid="{00000000-0005-0000-0000-00009D0B0000}"/>
    <cellStyle name="Moneda 6 6 6" xfId="2165" xr:uid="{00000000-0005-0000-0000-00009E0B0000}"/>
    <cellStyle name="Moneda 6 7" xfId="2166" xr:uid="{00000000-0005-0000-0000-00009F0B0000}"/>
    <cellStyle name="Moneda 6 7 2" xfId="2167" xr:uid="{00000000-0005-0000-0000-0000A00B0000}"/>
    <cellStyle name="Moneda 6 7 2 2" xfId="2168" xr:uid="{00000000-0005-0000-0000-0000A10B0000}"/>
    <cellStyle name="Moneda 6 7 3" xfId="2169" xr:uid="{00000000-0005-0000-0000-0000A20B0000}"/>
    <cellStyle name="Moneda 6 7 3 2" xfId="2170" xr:uid="{00000000-0005-0000-0000-0000A30B0000}"/>
    <cellStyle name="Moneda 6 7 4" xfId="2171" xr:uid="{00000000-0005-0000-0000-0000A40B0000}"/>
    <cellStyle name="Moneda 6 7 4 2" xfId="2172" xr:uid="{00000000-0005-0000-0000-0000A50B0000}"/>
    <cellStyle name="Moneda 6 7 5" xfId="2173" xr:uid="{00000000-0005-0000-0000-0000A60B0000}"/>
    <cellStyle name="Moneda 6 8" xfId="2174" xr:uid="{00000000-0005-0000-0000-0000A70B0000}"/>
    <cellStyle name="Moneda 6 8 2" xfId="2175" xr:uid="{00000000-0005-0000-0000-0000A80B0000}"/>
    <cellStyle name="Moneda 6 9" xfId="2176" xr:uid="{00000000-0005-0000-0000-0000A90B0000}"/>
    <cellStyle name="Moneda 6 9 2" xfId="2177" xr:uid="{00000000-0005-0000-0000-0000AA0B0000}"/>
    <cellStyle name="Moneda 60" xfId="3063" xr:uid="{00000000-0005-0000-0000-0000AB0B0000}"/>
    <cellStyle name="Moneda 60 2" xfId="3557" xr:uid="{00000000-0005-0000-0000-0000AC0B0000}"/>
    <cellStyle name="Moneda 61" xfId="3062" xr:uid="{00000000-0005-0000-0000-0000AD0B0000}"/>
    <cellStyle name="Moneda 61 2" xfId="3556" xr:uid="{00000000-0005-0000-0000-0000AE0B0000}"/>
    <cellStyle name="Moneda 62" xfId="3213" xr:uid="{00000000-0005-0000-0000-0000AF0B0000}"/>
    <cellStyle name="Moneda 63" xfId="3321" xr:uid="{00000000-0005-0000-0000-0000B00B0000}"/>
    <cellStyle name="Moneda 7" xfId="2178" xr:uid="{00000000-0005-0000-0000-0000B10B0000}"/>
    <cellStyle name="Moneda 7 10" xfId="2179" xr:uid="{00000000-0005-0000-0000-0000B20B0000}"/>
    <cellStyle name="Moneda 7 10 2" xfId="2180" xr:uid="{00000000-0005-0000-0000-0000B30B0000}"/>
    <cellStyle name="Moneda 7 11" xfId="2181" xr:uid="{00000000-0005-0000-0000-0000B40B0000}"/>
    <cellStyle name="Moneda 7 12" xfId="2182" xr:uid="{00000000-0005-0000-0000-0000B50B0000}"/>
    <cellStyle name="Moneda 7 2" xfId="2183" xr:uid="{00000000-0005-0000-0000-0000B60B0000}"/>
    <cellStyle name="Moneda 7 2 10" xfId="2184" xr:uid="{00000000-0005-0000-0000-0000B70B0000}"/>
    <cellStyle name="Moneda 7 2 11" xfId="2185" xr:uid="{00000000-0005-0000-0000-0000B80B0000}"/>
    <cellStyle name="Moneda 7 2 2" xfId="2186" xr:uid="{00000000-0005-0000-0000-0000B90B0000}"/>
    <cellStyle name="Moneda 7 2 2 2" xfId="2187" xr:uid="{00000000-0005-0000-0000-0000BA0B0000}"/>
    <cellStyle name="Moneda 7 2 2 2 2" xfId="2188" xr:uid="{00000000-0005-0000-0000-0000BB0B0000}"/>
    <cellStyle name="Moneda 7 2 2 2 2 2" xfId="2189" xr:uid="{00000000-0005-0000-0000-0000BC0B0000}"/>
    <cellStyle name="Moneda 7 2 2 2 2 2 2" xfId="2190" xr:uid="{00000000-0005-0000-0000-0000BD0B0000}"/>
    <cellStyle name="Moneda 7 2 2 2 2 3" xfId="2191" xr:uid="{00000000-0005-0000-0000-0000BE0B0000}"/>
    <cellStyle name="Moneda 7 2 2 2 2 3 2" xfId="2192" xr:uid="{00000000-0005-0000-0000-0000BF0B0000}"/>
    <cellStyle name="Moneda 7 2 2 2 2 4" xfId="2193" xr:uid="{00000000-0005-0000-0000-0000C00B0000}"/>
    <cellStyle name="Moneda 7 2 2 2 2 4 2" xfId="2194" xr:uid="{00000000-0005-0000-0000-0000C10B0000}"/>
    <cellStyle name="Moneda 7 2 2 2 2 5" xfId="2195" xr:uid="{00000000-0005-0000-0000-0000C20B0000}"/>
    <cellStyle name="Moneda 7 2 2 2 3" xfId="2196" xr:uid="{00000000-0005-0000-0000-0000C30B0000}"/>
    <cellStyle name="Moneda 7 2 2 2 3 2" xfId="2197" xr:uid="{00000000-0005-0000-0000-0000C40B0000}"/>
    <cellStyle name="Moneda 7 2 2 2 4" xfId="2198" xr:uid="{00000000-0005-0000-0000-0000C50B0000}"/>
    <cellStyle name="Moneda 7 2 2 2 4 2" xfId="2199" xr:uid="{00000000-0005-0000-0000-0000C60B0000}"/>
    <cellStyle name="Moneda 7 2 2 2 5" xfId="2200" xr:uid="{00000000-0005-0000-0000-0000C70B0000}"/>
    <cellStyle name="Moneda 7 2 2 2 5 2" xfId="2201" xr:uid="{00000000-0005-0000-0000-0000C80B0000}"/>
    <cellStyle name="Moneda 7 2 2 2 6" xfId="2202" xr:uid="{00000000-0005-0000-0000-0000C90B0000}"/>
    <cellStyle name="Moneda 7 2 2 3" xfId="2203" xr:uid="{00000000-0005-0000-0000-0000CA0B0000}"/>
    <cellStyle name="Moneda 7 2 2 3 2" xfId="2204" xr:uid="{00000000-0005-0000-0000-0000CB0B0000}"/>
    <cellStyle name="Moneda 7 2 2 3 2 2" xfId="2205" xr:uid="{00000000-0005-0000-0000-0000CC0B0000}"/>
    <cellStyle name="Moneda 7 2 2 3 3" xfId="2206" xr:uid="{00000000-0005-0000-0000-0000CD0B0000}"/>
    <cellStyle name="Moneda 7 2 2 3 3 2" xfId="2207" xr:uid="{00000000-0005-0000-0000-0000CE0B0000}"/>
    <cellStyle name="Moneda 7 2 2 3 4" xfId="2208" xr:uid="{00000000-0005-0000-0000-0000CF0B0000}"/>
    <cellStyle name="Moneda 7 2 2 3 4 2" xfId="2209" xr:uid="{00000000-0005-0000-0000-0000D00B0000}"/>
    <cellStyle name="Moneda 7 2 2 3 5" xfId="2210" xr:uid="{00000000-0005-0000-0000-0000D10B0000}"/>
    <cellStyle name="Moneda 7 2 2 4" xfId="2211" xr:uid="{00000000-0005-0000-0000-0000D20B0000}"/>
    <cellStyle name="Moneda 7 2 2 4 2" xfId="2212" xr:uid="{00000000-0005-0000-0000-0000D30B0000}"/>
    <cellStyle name="Moneda 7 2 2 5" xfId="2213" xr:uid="{00000000-0005-0000-0000-0000D40B0000}"/>
    <cellStyle name="Moneda 7 2 2 5 2" xfId="2214" xr:uid="{00000000-0005-0000-0000-0000D50B0000}"/>
    <cellStyle name="Moneda 7 2 2 6" xfId="2215" xr:uid="{00000000-0005-0000-0000-0000D60B0000}"/>
    <cellStyle name="Moneda 7 2 2 6 2" xfId="2216" xr:uid="{00000000-0005-0000-0000-0000D70B0000}"/>
    <cellStyle name="Moneda 7 2 2 7" xfId="2217" xr:uid="{00000000-0005-0000-0000-0000D80B0000}"/>
    <cellStyle name="Moneda 7 2 3" xfId="2218" xr:uid="{00000000-0005-0000-0000-0000D90B0000}"/>
    <cellStyle name="Moneda 7 2 3 2" xfId="2219" xr:uid="{00000000-0005-0000-0000-0000DA0B0000}"/>
    <cellStyle name="Moneda 7 2 3 2 2" xfId="2220" xr:uid="{00000000-0005-0000-0000-0000DB0B0000}"/>
    <cellStyle name="Moneda 7 2 3 2 2 2" xfId="2221" xr:uid="{00000000-0005-0000-0000-0000DC0B0000}"/>
    <cellStyle name="Moneda 7 2 3 2 2 2 2" xfId="2222" xr:uid="{00000000-0005-0000-0000-0000DD0B0000}"/>
    <cellStyle name="Moneda 7 2 3 2 2 3" xfId="2223" xr:uid="{00000000-0005-0000-0000-0000DE0B0000}"/>
    <cellStyle name="Moneda 7 2 3 2 2 3 2" xfId="2224" xr:uid="{00000000-0005-0000-0000-0000DF0B0000}"/>
    <cellStyle name="Moneda 7 2 3 2 2 4" xfId="2225" xr:uid="{00000000-0005-0000-0000-0000E00B0000}"/>
    <cellStyle name="Moneda 7 2 3 2 2 4 2" xfId="2226" xr:uid="{00000000-0005-0000-0000-0000E10B0000}"/>
    <cellStyle name="Moneda 7 2 3 2 2 5" xfId="2227" xr:uid="{00000000-0005-0000-0000-0000E20B0000}"/>
    <cellStyle name="Moneda 7 2 3 2 3" xfId="2228" xr:uid="{00000000-0005-0000-0000-0000E30B0000}"/>
    <cellStyle name="Moneda 7 2 3 2 3 2" xfId="2229" xr:uid="{00000000-0005-0000-0000-0000E40B0000}"/>
    <cellStyle name="Moneda 7 2 3 2 4" xfId="2230" xr:uid="{00000000-0005-0000-0000-0000E50B0000}"/>
    <cellStyle name="Moneda 7 2 3 2 4 2" xfId="2231" xr:uid="{00000000-0005-0000-0000-0000E60B0000}"/>
    <cellStyle name="Moneda 7 2 3 2 5" xfId="2232" xr:uid="{00000000-0005-0000-0000-0000E70B0000}"/>
    <cellStyle name="Moneda 7 2 3 2 5 2" xfId="2233" xr:uid="{00000000-0005-0000-0000-0000E80B0000}"/>
    <cellStyle name="Moneda 7 2 3 2 6" xfId="2234" xr:uid="{00000000-0005-0000-0000-0000E90B0000}"/>
    <cellStyle name="Moneda 7 2 3 3" xfId="2235" xr:uid="{00000000-0005-0000-0000-0000EA0B0000}"/>
    <cellStyle name="Moneda 7 2 3 3 2" xfId="2236" xr:uid="{00000000-0005-0000-0000-0000EB0B0000}"/>
    <cellStyle name="Moneda 7 2 3 3 2 2" xfId="2237" xr:uid="{00000000-0005-0000-0000-0000EC0B0000}"/>
    <cellStyle name="Moneda 7 2 3 3 3" xfId="2238" xr:uid="{00000000-0005-0000-0000-0000ED0B0000}"/>
    <cellStyle name="Moneda 7 2 3 3 3 2" xfId="2239" xr:uid="{00000000-0005-0000-0000-0000EE0B0000}"/>
    <cellStyle name="Moneda 7 2 3 3 4" xfId="2240" xr:uid="{00000000-0005-0000-0000-0000EF0B0000}"/>
    <cellStyle name="Moneda 7 2 3 3 4 2" xfId="2241" xr:uid="{00000000-0005-0000-0000-0000F00B0000}"/>
    <cellStyle name="Moneda 7 2 3 3 5" xfId="2242" xr:uid="{00000000-0005-0000-0000-0000F10B0000}"/>
    <cellStyle name="Moneda 7 2 3 4" xfId="2243" xr:uid="{00000000-0005-0000-0000-0000F20B0000}"/>
    <cellStyle name="Moneda 7 2 3 4 2" xfId="2244" xr:uid="{00000000-0005-0000-0000-0000F30B0000}"/>
    <cellStyle name="Moneda 7 2 3 5" xfId="2245" xr:uid="{00000000-0005-0000-0000-0000F40B0000}"/>
    <cellStyle name="Moneda 7 2 3 5 2" xfId="2246" xr:uid="{00000000-0005-0000-0000-0000F50B0000}"/>
    <cellStyle name="Moneda 7 2 3 6" xfId="2247" xr:uid="{00000000-0005-0000-0000-0000F60B0000}"/>
    <cellStyle name="Moneda 7 2 3 6 2" xfId="2248" xr:uid="{00000000-0005-0000-0000-0000F70B0000}"/>
    <cellStyle name="Moneda 7 2 3 7" xfId="2249" xr:uid="{00000000-0005-0000-0000-0000F80B0000}"/>
    <cellStyle name="Moneda 7 2 4" xfId="2250" xr:uid="{00000000-0005-0000-0000-0000F90B0000}"/>
    <cellStyle name="Moneda 7 2 4 2" xfId="2251" xr:uid="{00000000-0005-0000-0000-0000FA0B0000}"/>
    <cellStyle name="Moneda 7 2 4 2 2" xfId="2252" xr:uid="{00000000-0005-0000-0000-0000FB0B0000}"/>
    <cellStyle name="Moneda 7 2 4 2 2 2" xfId="2253" xr:uid="{00000000-0005-0000-0000-0000FC0B0000}"/>
    <cellStyle name="Moneda 7 2 4 2 2 2 2" xfId="2254" xr:uid="{00000000-0005-0000-0000-0000FD0B0000}"/>
    <cellStyle name="Moneda 7 2 4 2 2 3" xfId="2255" xr:uid="{00000000-0005-0000-0000-0000FE0B0000}"/>
    <cellStyle name="Moneda 7 2 4 2 2 3 2" xfId="2256" xr:uid="{00000000-0005-0000-0000-0000FF0B0000}"/>
    <cellStyle name="Moneda 7 2 4 2 2 4" xfId="2257" xr:uid="{00000000-0005-0000-0000-0000000C0000}"/>
    <cellStyle name="Moneda 7 2 4 2 2 4 2" xfId="2258" xr:uid="{00000000-0005-0000-0000-0000010C0000}"/>
    <cellStyle name="Moneda 7 2 4 2 2 5" xfId="2259" xr:uid="{00000000-0005-0000-0000-0000020C0000}"/>
    <cellStyle name="Moneda 7 2 4 2 3" xfId="2260" xr:uid="{00000000-0005-0000-0000-0000030C0000}"/>
    <cellStyle name="Moneda 7 2 4 2 3 2" xfId="2261" xr:uid="{00000000-0005-0000-0000-0000040C0000}"/>
    <cellStyle name="Moneda 7 2 4 2 4" xfId="2262" xr:uid="{00000000-0005-0000-0000-0000050C0000}"/>
    <cellStyle name="Moneda 7 2 4 2 4 2" xfId="2263" xr:uid="{00000000-0005-0000-0000-0000060C0000}"/>
    <cellStyle name="Moneda 7 2 4 2 5" xfId="2264" xr:uid="{00000000-0005-0000-0000-0000070C0000}"/>
    <cellStyle name="Moneda 7 2 4 2 5 2" xfId="2265" xr:uid="{00000000-0005-0000-0000-0000080C0000}"/>
    <cellStyle name="Moneda 7 2 4 2 6" xfId="2266" xr:uid="{00000000-0005-0000-0000-0000090C0000}"/>
    <cellStyle name="Moneda 7 2 4 3" xfId="2267" xr:uid="{00000000-0005-0000-0000-00000A0C0000}"/>
    <cellStyle name="Moneda 7 2 4 3 2" xfId="2268" xr:uid="{00000000-0005-0000-0000-00000B0C0000}"/>
    <cellStyle name="Moneda 7 2 4 3 2 2" xfId="2269" xr:uid="{00000000-0005-0000-0000-00000C0C0000}"/>
    <cellStyle name="Moneda 7 2 4 3 3" xfId="2270" xr:uid="{00000000-0005-0000-0000-00000D0C0000}"/>
    <cellStyle name="Moneda 7 2 4 3 3 2" xfId="2271" xr:uid="{00000000-0005-0000-0000-00000E0C0000}"/>
    <cellStyle name="Moneda 7 2 4 3 4" xfId="2272" xr:uid="{00000000-0005-0000-0000-00000F0C0000}"/>
    <cellStyle name="Moneda 7 2 4 3 4 2" xfId="2273" xr:uid="{00000000-0005-0000-0000-0000100C0000}"/>
    <cellStyle name="Moneda 7 2 4 3 5" xfId="2274" xr:uid="{00000000-0005-0000-0000-0000110C0000}"/>
    <cellStyle name="Moneda 7 2 4 4" xfId="2275" xr:uid="{00000000-0005-0000-0000-0000120C0000}"/>
    <cellStyle name="Moneda 7 2 4 4 2" xfId="2276" xr:uid="{00000000-0005-0000-0000-0000130C0000}"/>
    <cellStyle name="Moneda 7 2 4 5" xfId="2277" xr:uid="{00000000-0005-0000-0000-0000140C0000}"/>
    <cellStyle name="Moneda 7 2 4 5 2" xfId="2278" xr:uid="{00000000-0005-0000-0000-0000150C0000}"/>
    <cellStyle name="Moneda 7 2 4 6" xfId="2279" xr:uid="{00000000-0005-0000-0000-0000160C0000}"/>
    <cellStyle name="Moneda 7 2 4 6 2" xfId="2280" xr:uid="{00000000-0005-0000-0000-0000170C0000}"/>
    <cellStyle name="Moneda 7 2 4 7" xfId="2281" xr:uid="{00000000-0005-0000-0000-0000180C0000}"/>
    <cellStyle name="Moneda 7 2 5" xfId="2282" xr:uid="{00000000-0005-0000-0000-0000190C0000}"/>
    <cellStyle name="Moneda 7 2 5 2" xfId="2283" xr:uid="{00000000-0005-0000-0000-00001A0C0000}"/>
    <cellStyle name="Moneda 7 2 5 2 2" xfId="2284" xr:uid="{00000000-0005-0000-0000-00001B0C0000}"/>
    <cellStyle name="Moneda 7 2 5 2 2 2" xfId="2285" xr:uid="{00000000-0005-0000-0000-00001C0C0000}"/>
    <cellStyle name="Moneda 7 2 5 2 3" xfId="2286" xr:uid="{00000000-0005-0000-0000-00001D0C0000}"/>
    <cellStyle name="Moneda 7 2 5 2 3 2" xfId="2287" xr:uid="{00000000-0005-0000-0000-00001E0C0000}"/>
    <cellStyle name="Moneda 7 2 5 2 4" xfId="2288" xr:uid="{00000000-0005-0000-0000-00001F0C0000}"/>
    <cellStyle name="Moneda 7 2 5 2 4 2" xfId="2289" xr:uid="{00000000-0005-0000-0000-0000200C0000}"/>
    <cellStyle name="Moneda 7 2 5 2 5" xfId="2290" xr:uid="{00000000-0005-0000-0000-0000210C0000}"/>
    <cellStyle name="Moneda 7 2 5 3" xfId="2291" xr:uid="{00000000-0005-0000-0000-0000220C0000}"/>
    <cellStyle name="Moneda 7 2 5 3 2" xfId="2292" xr:uid="{00000000-0005-0000-0000-0000230C0000}"/>
    <cellStyle name="Moneda 7 2 5 4" xfId="2293" xr:uid="{00000000-0005-0000-0000-0000240C0000}"/>
    <cellStyle name="Moneda 7 2 5 4 2" xfId="2294" xr:uid="{00000000-0005-0000-0000-0000250C0000}"/>
    <cellStyle name="Moneda 7 2 5 5" xfId="2295" xr:uid="{00000000-0005-0000-0000-0000260C0000}"/>
    <cellStyle name="Moneda 7 2 5 5 2" xfId="2296" xr:uid="{00000000-0005-0000-0000-0000270C0000}"/>
    <cellStyle name="Moneda 7 2 5 6" xfId="2297" xr:uid="{00000000-0005-0000-0000-0000280C0000}"/>
    <cellStyle name="Moneda 7 2 6" xfId="2298" xr:uid="{00000000-0005-0000-0000-0000290C0000}"/>
    <cellStyle name="Moneda 7 2 6 2" xfId="2299" xr:uid="{00000000-0005-0000-0000-00002A0C0000}"/>
    <cellStyle name="Moneda 7 2 6 2 2" xfId="2300" xr:uid="{00000000-0005-0000-0000-00002B0C0000}"/>
    <cellStyle name="Moneda 7 2 6 3" xfId="2301" xr:uid="{00000000-0005-0000-0000-00002C0C0000}"/>
    <cellStyle name="Moneda 7 2 6 3 2" xfId="2302" xr:uid="{00000000-0005-0000-0000-00002D0C0000}"/>
    <cellStyle name="Moneda 7 2 6 4" xfId="2303" xr:uid="{00000000-0005-0000-0000-00002E0C0000}"/>
    <cellStyle name="Moneda 7 2 6 4 2" xfId="2304" xr:uid="{00000000-0005-0000-0000-00002F0C0000}"/>
    <cellStyle name="Moneda 7 2 6 5" xfId="2305" xr:uid="{00000000-0005-0000-0000-0000300C0000}"/>
    <cellStyle name="Moneda 7 2 7" xfId="2306" xr:uid="{00000000-0005-0000-0000-0000310C0000}"/>
    <cellStyle name="Moneda 7 2 7 2" xfId="2307" xr:uid="{00000000-0005-0000-0000-0000320C0000}"/>
    <cellStyle name="Moneda 7 2 8" xfId="2308" xr:uid="{00000000-0005-0000-0000-0000330C0000}"/>
    <cellStyle name="Moneda 7 2 8 2" xfId="2309" xr:uid="{00000000-0005-0000-0000-0000340C0000}"/>
    <cellStyle name="Moneda 7 2 9" xfId="2310" xr:uid="{00000000-0005-0000-0000-0000350C0000}"/>
    <cellStyle name="Moneda 7 2 9 2" xfId="2311" xr:uid="{00000000-0005-0000-0000-0000360C0000}"/>
    <cellStyle name="Moneda 7 3" xfId="2312" xr:uid="{00000000-0005-0000-0000-0000370C0000}"/>
    <cellStyle name="Moneda 7 3 2" xfId="2313" xr:uid="{00000000-0005-0000-0000-0000380C0000}"/>
    <cellStyle name="Moneda 7 3 2 2" xfId="2314" xr:uid="{00000000-0005-0000-0000-0000390C0000}"/>
    <cellStyle name="Moneda 7 3 2 2 2" xfId="2315" xr:uid="{00000000-0005-0000-0000-00003A0C0000}"/>
    <cellStyle name="Moneda 7 3 2 2 2 2" xfId="2316" xr:uid="{00000000-0005-0000-0000-00003B0C0000}"/>
    <cellStyle name="Moneda 7 3 2 2 3" xfId="2317" xr:uid="{00000000-0005-0000-0000-00003C0C0000}"/>
    <cellStyle name="Moneda 7 3 2 2 3 2" xfId="2318" xr:uid="{00000000-0005-0000-0000-00003D0C0000}"/>
    <cellStyle name="Moneda 7 3 2 2 4" xfId="2319" xr:uid="{00000000-0005-0000-0000-00003E0C0000}"/>
    <cellStyle name="Moneda 7 3 2 2 4 2" xfId="2320" xr:uid="{00000000-0005-0000-0000-00003F0C0000}"/>
    <cellStyle name="Moneda 7 3 2 2 5" xfId="2321" xr:uid="{00000000-0005-0000-0000-0000400C0000}"/>
    <cellStyle name="Moneda 7 3 2 3" xfId="2322" xr:uid="{00000000-0005-0000-0000-0000410C0000}"/>
    <cellStyle name="Moneda 7 3 2 3 2" xfId="2323" xr:uid="{00000000-0005-0000-0000-0000420C0000}"/>
    <cellStyle name="Moneda 7 3 2 4" xfId="2324" xr:uid="{00000000-0005-0000-0000-0000430C0000}"/>
    <cellStyle name="Moneda 7 3 2 4 2" xfId="2325" xr:uid="{00000000-0005-0000-0000-0000440C0000}"/>
    <cellStyle name="Moneda 7 3 2 5" xfId="2326" xr:uid="{00000000-0005-0000-0000-0000450C0000}"/>
    <cellStyle name="Moneda 7 3 2 5 2" xfId="2327" xr:uid="{00000000-0005-0000-0000-0000460C0000}"/>
    <cellStyle name="Moneda 7 3 2 6" xfId="2328" xr:uid="{00000000-0005-0000-0000-0000470C0000}"/>
    <cellStyle name="Moneda 7 3 3" xfId="2329" xr:uid="{00000000-0005-0000-0000-0000480C0000}"/>
    <cellStyle name="Moneda 7 3 3 2" xfId="2330" xr:uid="{00000000-0005-0000-0000-0000490C0000}"/>
    <cellStyle name="Moneda 7 3 3 2 2" xfId="2331" xr:uid="{00000000-0005-0000-0000-00004A0C0000}"/>
    <cellStyle name="Moneda 7 3 3 3" xfId="2332" xr:uid="{00000000-0005-0000-0000-00004B0C0000}"/>
    <cellStyle name="Moneda 7 3 3 3 2" xfId="2333" xr:uid="{00000000-0005-0000-0000-00004C0C0000}"/>
    <cellStyle name="Moneda 7 3 3 4" xfId="2334" xr:uid="{00000000-0005-0000-0000-00004D0C0000}"/>
    <cellStyle name="Moneda 7 3 3 4 2" xfId="2335" xr:uid="{00000000-0005-0000-0000-00004E0C0000}"/>
    <cellStyle name="Moneda 7 3 3 5" xfId="2336" xr:uid="{00000000-0005-0000-0000-00004F0C0000}"/>
    <cellStyle name="Moneda 7 3 4" xfId="2337" xr:uid="{00000000-0005-0000-0000-0000500C0000}"/>
    <cellStyle name="Moneda 7 3 4 2" xfId="2338" xr:uid="{00000000-0005-0000-0000-0000510C0000}"/>
    <cellStyle name="Moneda 7 3 5" xfId="2339" xr:uid="{00000000-0005-0000-0000-0000520C0000}"/>
    <cellStyle name="Moneda 7 3 5 2" xfId="2340" xr:uid="{00000000-0005-0000-0000-0000530C0000}"/>
    <cellStyle name="Moneda 7 3 6" xfId="2341" xr:uid="{00000000-0005-0000-0000-0000540C0000}"/>
    <cellStyle name="Moneda 7 3 6 2" xfId="2342" xr:uid="{00000000-0005-0000-0000-0000550C0000}"/>
    <cellStyle name="Moneda 7 3 7" xfId="2343" xr:uid="{00000000-0005-0000-0000-0000560C0000}"/>
    <cellStyle name="Moneda 7 4" xfId="2344" xr:uid="{00000000-0005-0000-0000-0000570C0000}"/>
    <cellStyle name="Moneda 7 4 2" xfId="2345" xr:uid="{00000000-0005-0000-0000-0000580C0000}"/>
    <cellStyle name="Moneda 7 4 2 2" xfId="2346" xr:uid="{00000000-0005-0000-0000-0000590C0000}"/>
    <cellStyle name="Moneda 7 4 2 2 2" xfId="2347" xr:uid="{00000000-0005-0000-0000-00005A0C0000}"/>
    <cellStyle name="Moneda 7 4 2 2 2 2" xfId="2348" xr:uid="{00000000-0005-0000-0000-00005B0C0000}"/>
    <cellStyle name="Moneda 7 4 2 2 3" xfId="2349" xr:uid="{00000000-0005-0000-0000-00005C0C0000}"/>
    <cellStyle name="Moneda 7 4 2 2 3 2" xfId="2350" xr:uid="{00000000-0005-0000-0000-00005D0C0000}"/>
    <cellStyle name="Moneda 7 4 2 2 4" xfId="2351" xr:uid="{00000000-0005-0000-0000-00005E0C0000}"/>
    <cellStyle name="Moneda 7 4 2 2 4 2" xfId="2352" xr:uid="{00000000-0005-0000-0000-00005F0C0000}"/>
    <cellStyle name="Moneda 7 4 2 2 5" xfId="2353" xr:uid="{00000000-0005-0000-0000-0000600C0000}"/>
    <cellStyle name="Moneda 7 4 2 3" xfId="2354" xr:uid="{00000000-0005-0000-0000-0000610C0000}"/>
    <cellStyle name="Moneda 7 4 2 3 2" xfId="2355" xr:uid="{00000000-0005-0000-0000-0000620C0000}"/>
    <cellStyle name="Moneda 7 4 2 4" xfId="2356" xr:uid="{00000000-0005-0000-0000-0000630C0000}"/>
    <cellStyle name="Moneda 7 4 2 4 2" xfId="2357" xr:uid="{00000000-0005-0000-0000-0000640C0000}"/>
    <cellStyle name="Moneda 7 4 2 5" xfId="2358" xr:uid="{00000000-0005-0000-0000-0000650C0000}"/>
    <cellStyle name="Moneda 7 4 2 5 2" xfId="2359" xr:uid="{00000000-0005-0000-0000-0000660C0000}"/>
    <cellStyle name="Moneda 7 4 2 6" xfId="2360" xr:uid="{00000000-0005-0000-0000-0000670C0000}"/>
    <cellStyle name="Moneda 7 4 3" xfId="2361" xr:uid="{00000000-0005-0000-0000-0000680C0000}"/>
    <cellStyle name="Moneda 7 4 3 2" xfId="2362" xr:uid="{00000000-0005-0000-0000-0000690C0000}"/>
    <cellStyle name="Moneda 7 4 3 2 2" xfId="2363" xr:uid="{00000000-0005-0000-0000-00006A0C0000}"/>
    <cellStyle name="Moneda 7 4 3 3" xfId="2364" xr:uid="{00000000-0005-0000-0000-00006B0C0000}"/>
    <cellStyle name="Moneda 7 4 3 3 2" xfId="2365" xr:uid="{00000000-0005-0000-0000-00006C0C0000}"/>
    <cellStyle name="Moneda 7 4 3 4" xfId="2366" xr:uid="{00000000-0005-0000-0000-00006D0C0000}"/>
    <cellStyle name="Moneda 7 4 3 4 2" xfId="2367" xr:uid="{00000000-0005-0000-0000-00006E0C0000}"/>
    <cellStyle name="Moneda 7 4 3 5" xfId="2368" xr:uid="{00000000-0005-0000-0000-00006F0C0000}"/>
    <cellStyle name="Moneda 7 4 4" xfId="2369" xr:uid="{00000000-0005-0000-0000-0000700C0000}"/>
    <cellStyle name="Moneda 7 4 4 2" xfId="2370" xr:uid="{00000000-0005-0000-0000-0000710C0000}"/>
    <cellStyle name="Moneda 7 4 5" xfId="2371" xr:uid="{00000000-0005-0000-0000-0000720C0000}"/>
    <cellStyle name="Moneda 7 4 5 2" xfId="2372" xr:uid="{00000000-0005-0000-0000-0000730C0000}"/>
    <cellStyle name="Moneda 7 4 6" xfId="2373" xr:uid="{00000000-0005-0000-0000-0000740C0000}"/>
    <cellStyle name="Moneda 7 4 6 2" xfId="2374" xr:uid="{00000000-0005-0000-0000-0000750C0000}"/>
    <cellStyle name="Moneda 7 4 7" xfId="2375" xr:uid="{00000000-0005-0000-0000-0000760C0000}"/>
    <cellStyle name="Moneda 7 5" xfId="2376" xr:uid="{00000000-0005-0000-0000-0000770C0000}"/>
    <cellStyle name="Moneda 7 5 2" xfId="2377" xr:uid="{00000000-0005-0000-0000-0000780C0000}"/>
    <cellStyle name="Moneda 7 5 2 2" xfId="2378" xr:uid="{00000000-0005-0000-0000-0000790C0000}"/>
    <cellStyle name="Moneda 7 5 2 2 2" xfId="2379" xr:uid="{00000000-0005-0000-0000-00007A0C0000}"/>
    <cellStyle name="Moneda 7 5 2 2 2 2" xfId="2380" xr:uid="{00000000-0005-0000-0000-00007B0C0000}"/>
    <cellStyle name="Moneda 7 5 2 2 3" xfId="2381" xr:uid="{00000000-0005-0000-0000-00007C0C0000}"/>
    <cellStyle name="Moneda 7 5 2 2 3 2" xfId="2382" xr:uid="{00000000-0005-0000-0000-00007D0C0000}"/>
    <cellStyle name="Moneda 7 5 2 2 4" xfId="2383" xr:uid="{00000000-0005-0000-0000-00007E0C0000}"/>
    <cellStyle name="Moneda 7 5 2 2 4 2" xfId="2384" xr:uid="{00000000-0005-0000-0000-00007F0C0000}"/>
    <cellStyle name="Moneda 7 5 2 2 5" xfId="2385" xr:uid="{00000000-0005-0000-0000-0000800C0000}"/>
    <cellStyle name="Moneda 7 5 2 3" xfId="2386" xr:uid="{00000000-0005-0000-0000-0000810C0000}"/>
    <cellStyle name="Moneda 7 5 2 3 2" xfId="2387" xr:uid="{00000000-0005-0000-0000-0000820C0000}"/>
    <cellStyle name="Moneda 7 5 2 4" xfId="2388" xr:uid="{00000000-0005-0000-0000-0000830C0000}"/>
    <cellStyle name="Moneda 7 5 2 4 2" xfId="2389" xr:uid="{00000000-0005-0000-0000-0000840C0000}"/>
    <cellStyle name="Moneda 7 5 2 5" xfId="2390" xr:uid="{00000000-0005-0000-0000-0000850C0000}"/>
    <cellStyle name="Moneda 7 5 2 5 2" xfId="2391" xr:uid="{00000000-0005-0000-0000-0000860C0000}"/>
    <cellStyle name="Moneda 7 5 2 6" xfId="2392" xr:uid="{00000000-0005-0000-0000-0000870C0000}"/>
    <cellStyle name="Moneda 7 5 3" xfId="2393" xr:uid="{00000000-0005-0000-0000-0000880C0000}"/>
    <cellStyle name="Moneda 7 5 3 2" xfId="2394" xr:uid="{00000000-0005-0000-0000-0000890C0000}"/>
    <cellStyle name="Moneda 7 5 3 2 2" xfId="2395" xr:uid="{00000000-0005-0000-0000-00008A0C0000}"/>
    <cellStyle name="Moneda 7 5 3 3" xfId="2396" xr:uid="{00000000-0005-0000-0000-00008B0C0000}"/>
    <cellStyle name="Moneda 7 5 3 3 2" xfId="2397" xr:uid="{00000000-0005-0000-0000-00008C0C0000}"/>
    <cellStyle name="Moneda 7 5 3 4" xfId="2398" xr:uid="{00000000-0005-0000-0000-00008D0C0000}"/>
    <cellStyle name="Moneda 7 5 3 4 2" xfId="2399" xr:uid="{00000000-0005-0000-0000-00008E0C0000}"/>
    <cellStyle name="Moneda 7 5 3 5" xfId="2400" xr:uid="{00000000-0005-0000-0000-00008F0C0000}"/>
    <cellStyle name="Moneda 7 5 4" xfId="2401" xr:uid="{00000000-0005-0000-0000-0000900C0000}"/>
    <cellStyle name="Moneda 7 5 4 2" xfId="2402" xr:uid="{00000000-0005-0000-0000-0000910C0000}"/>
    <cellStyle name="Moneda 7 5 5" xfId="2403" xr:uid="{00000000-0005-0000-0000-0000920C0000}"/>
    <cellStyle name="Moneda 7 5 5 2" xfId="2404" xr:uid="{00000000-0005-0000-0000-0000930C0000}"/>
    <cellStyle name="Moneda 7 5 6" xfId="2405" xr:uid="{00000000-0005-0000-0000-0000940C0000}"/>
    <cellStyle name="Moneda 7 5 6 2" xfId="2406" xr:uid="{00000000-0005-0000-0000-0000950C0000}"/>
    <cellStyle name="Moneda 7 5 7" xfId="2407" xr:uid="{00000000-0005-0000-0000-0000960C0000}"/>
    <cellStyle name="Moneda 7 6" xfId="2408" xr:uid="{00000000-0005-0000-0000-0000970C0000}"/>
    <cellStyle name="Moneda 7 6 2" xfId="2409" xr:uid="{00000000-0005-0000-0000-0000980C0000}"/>
    <cellStyle name="Moneda 7 6 2 2" xfId="2410" xr:uid="{00000000-0005-0000-0000-0000990C0000}"/>
    <cellStyle name="Moneda 7 6 2 2 2" xfId="2411" xr:uid="{00000000-0005-0000-0000-00009A0C0000}"/>
    <cellStyle name="Moneda 7 6 2 3" xfId="2412" xr:uid="{00000000-0005-0000-0000-00009B0C0000}"/>
    <cellStyle name="Moneda 7 6 2 3 2" xfId="2413" xr:uid="{00000000-0005-0000-0000-00009C0C0000}"/>
    <cellStyle name="Moneda 7 6 2 4" xfId="2414" xr:uid="{00000000-0005-0000-0000-00009D0C0000}"/>
    <cellStyle name="Moneda 7 6 2 4 2" xfId="2415" xr:uid="{00000000-0005-0000-0000-00009E0C0000}"/>
    <cellStyle name="Moneda 7 6 2 5" xfId="2416" xr:uid="{00000000-0005-0000-0000-00009F0C0000}"/>
    <cellStyle name="Moneda 7 6 3" xfId="2417" xr:uid="{00000000-0005-0000-0000-0000A00C0000}"/>
    <cellStyle name="Moneda 7 6 3 2" xfId="2418" xr:uid="{00000000-0005-0000-0000-0000A10C0000}"/>
    <cellStyle name="Moneda 7 6 4" xfId="2419" xr:uid="{00000000-0005-0000-0000-0000A20C0000}"/>
    <cellStyle name="Moneda 7 6 4 2" xfId="2420" xr:uid="{00000000-0005-0000-0000-0000A30C0000}"/>
    <cellStyle name="Moneda 7 6 5" xfId="2421" xr:uid="{00000000-0005-0000-0000-0000A40C0000}"/>
    <cellStyle name="Moneda 7 6 5 2" xfId="2422" xr:uid="{00000000-0005-0000-0000-0000A50C0000}"/>
    <cellStyle name="Moneda 7 6 6" xfId="2423" xr:uid="{00000000-0005-0000-0000-0000A60C0000}"/>
    <cellStyle name="Moneda 7 7" xfId="2424" xr:uid="{00000000-0005-0000-0000-0000A70C0000}"/>
    <cellStyle name="Moneda 7 7 2" xfId="2425" xr:uid="{00000000-0005-0000-0000-0000A80C0000}"/>
    <cellStyle name="Moneda 7 7 2 2" xfId="2426" xr:uid="{00000000-0005-0000-0000-0000A90C0000}"/>
    <cellStyle name="Moneda 7 7 3" xfId="2427" xr:uid="{00000000-0005-0000-0000-0000AA0C0000}"/>
    <cellStyle name="Moneda 7 7 3 2" xfId="2428" xr:uid="{00000000-0005-0000-0000-0000AB0C0000}"/>
    <cellStyle name="Moneda 7 7 4" xfId="2429" xr:uid="{00000000-0005-0000-0000-0000AC0C0000}"/>
    <cellStyle name="Moneda 7 7 4 2" xfId="2430" xr:uid="{00000000-0005-0000-0000-0000AD0C0000}"/>
    <cellStyle name="Moneda 7 7 5" xfId="2431" xr:uid="{00000000-0005-0000-0000-0000AE0C0000}"/>
    <cellStyle name="Moneda 7 8" xfId="2432" xr:uid="{00000000-0005-0000-0000-0000AF0C0000}"/>
    <cellStyle name="Moneda 7 8 2" xfId="2433" xr:uid="{00000000-0005-0000-0000-0000B00C0000}"/>
    <cellStyle name="Moneda 7 9" xfId="2434" xr:uid="{00000000-0005-0000-0000-0000B10C0000}"/>
    <cellStyle name="Moneda 7 9 2" xfId="2435" xr:uid="{00000000-0005-0000-0000-0000B20C0000}"/>
    <cellStyle name="Moneda 8" xfId="2436" xr:uid="{00000000-0005-0000-0000-0000B30C0000}"/>
    <cellStyle name="Moneda 8 10" xfId="2437" xr:uid="{00000000-0005-0000-0000-0000B40C0000}"/>
    <cellStyle name="Moneda 8 10 2" xfId="2438" xr:uid="{00000000-0005-0000-0000-0000B50C0000}"/>
    <cellStyle name="Moneda 8 11" xfId="2439" xr:uid="{00000000-0005-0000-0000-0000B60C0000}"/>
    <cellStyle name="Moneda 8 11 2" xfId="2440" xr:uid="{00000000-0005-0000-0000-0000B70C0000}"/>
    <cellStyle name="Moneda 8 12" xfId="2441" xr:uid="{00000000-0005-0000-0000-0000B80C0000}"/>
    <cellStyle name="Moneda 8 13" xfId="2442" xr:uid="{00000000-0005-0000-0000-0000B90C0000}"/>
    <cellStyle name="Moneda 8 2" xfId="2443" xr:uid="{00000000-0005-0000-0000-0000BA0C0000}"/>
    <cellStyle name="Moneda 8 2 10" xfId="2444" xr:uid="{00000000-0005-0000-0000-0000BB0C0000}"/>
    <cellStyle name="Moneda 8 2 11" xfId="2445" xr:uid="{00000000-0005-0000-0000-0000BC0C0000}"/>
    <cellStyle name="Moneda 8 2 2" xfId="2446" xr:uid="{00000000-0005-0000-0000-0000BD0C0000}"/>
    <cellStyle name="Moneda 8 2 2 2" xfId="2447" xr:uid="{00000000-0005-0000-0000-0000BE0C0000}"/>
    <cellStyle name="Moneda 8 2 2 2 2" xfId="2448" xr:uid="{00000000-0005-0000-0000-0000BF0C0000}"/>
    <cellStyle name="Moneda 8 2 2 2 2 2" xfId="2449" xr:uid="{00000000-0005-0000-0000-0000C00C0000}"/>
    <cellStyle name="Moneda 8 2 2 2 2 2 2" xfId="2450" xr:uid="{00000000-0005-0000-0000-0000C10C0000}"/>
    <cellStyle name="Moneda 8 2 2 2 2 3" xfId="2451" xr:uid="{00000000-0005-0000-0000-0000C20C0000}"/>
    <cellStyle name="Moneda 8 2 2 2 2 3 2" xfId="2452" xr:uid="{00000000-0005-0000-0000-0000C30C0000}"/>
    <cellStyle name="Moneda 8 2 2 2 2 4" xfId="2453" xr:uid="{00000000-0005-0000-0000-0000C40C0000}"/>
    <cellStyle name="Moneda 8 2 2 2 2 4 2" xfId="2454" xr:uid="{00000000-0005-0000-0000-0000C50C0000}"/>
    <cellStyle name="Moneda 8 2 2 2 2 5" xfId="2455" xr:uid="{00000000-0005-0000-0000-0000C60C0000}"/>
    <cellStyle name="Moneda 8 2 2 2 3" xfId="2456" xr:uid="{00000000-0005-0000-0000-0000C70C0000}"/>
    <cellStyle name="Moneda 8 2 2 2 3 2" xfId="2457" xr:uid="{00000000-0005-0000-0000-0000C80C0000}"/>
    <cellStyle name="Moneda 8 2 2 2 4" xfId="2458" xr:uid="{00000000-0005-0000-0000-0000C90C0000}"/>
    <cellStyle name="Moneda 8 2 2 2 4 2" xfId="2459" xr:uid="{00000000-0005-0000-0000-0000CA0C0000}"/>
    <cellStyle name="Moneda 8 2 2 2 5" xfId="2460" xr:uid="{00000000-0005-0000-0000-0000CB0C0000}"/>
    <cellStyle name="Moneda 8 2 2 2 5 2" xfId="2461" xr:uid="{00000000-0005-0000-0000-0000CC0C0000}"/>
    <cellStyle name="Moneda 8 2 2 2 6" xfId="2462" xr:uid="{00000000-0005-0000-0000-0000CD0C0000}"/>
    <cellStyle name="Moneda 8 2 2 3" xfId="2463" xr:uid="{00000000-0005-0000-0000-0000CE0C0000}"/>
    <cellStyle name="Moneda 8 2 2 3 2" xfId="2464" xr:uid="{00000000-0005-0000-0000-0000CF0C0000}"/>
    <cellStyle name="Moneda 8 2 2 3 2 2" xfId="2465" xr:uid="{00000000-0005-0000-0000-0000D00C0000}"/>
    <cellStyle name="Moneda 8 2 2 3 3" xfId="2466" xr:uid="{00000000-0005-0000-0000-0000D10C0000}"/>
    <cellStyle name="Moneda 8 2 2 3 3 2" xfId="2467" xr:uid="{00000000-0005-0000-0000-0000D20C0000}"/>
    <cellStyle name="Moneda 8 2 2 3 4" xfId="2468" xr:uid="{00000000-0005-0000-0000-0000D30C0000}"/>
    <cellStyle name="Moneda 8 2 2 3 4 2" xfId="2469" xr:uid="{00000000-0005-0000-0000-0000D40C0000}"/>
    <cellStyle name="Moneda 8 2 2 3 5" xfId="2470" xr:uid="{00000000-0005-0000-0000-0000D50C0000}"/>
    <cellStyle name="Moneda 8 2 2 4" xfId="2471" xr:uid="{00000000-0005-0000-0000-0000D60C0000}"/>
    <cellStyle name="Moneda 8 2 2 4 2" xfId="2472" xr:uid="{00000000-0005-0000-0000-0000D70C0000}"/>
    <cellStyle name="Moneda 8 2 2 5" xfId="2473" xr:uid="{00000000-0005-0000-0000-0000D80C0000}"/>
    <cellStyle name="Moneda 8 2 2 5 2" xfId="2474" xr:uid="{00000000-0005-0000-0000-0000D90C0000}"/>
    <cellStyle name="Moneda 8 2 2 6" xfId="2475" xr:uid="{00000000-0005-0000-0000-0000DA0C0000}"/>
    <cellStyle name="Moneda 8 2 2 6 2" xfId="2476" xr:uid="{00000000-0005-0000-0000-0000DB0C0000}"/>
    <cellStyle name="Moneda 8 2 2 7" xfId="2477" xr:uid="{00000000-0005-0000-0000-0000DC0C0000}"/>
    <cellStyle name="Moneda 8 2 3" xfId="2478" xr:uid="{00000000-0005-0000-0000-0000DD0C0000}"/>
    <cellStyle name="Moneda 8 2 3 2" xfId="2479" xr:uid="{00000000-0005-0000-0000-0000DE0C0000}"/>
    <cellStyle name="Moneda 8 2 3 2 2" xfId="2480" xr:uid="{00000000-0005-0000-0000-0000DF0C0000}"/>
    <cellStyle name="Moneda 8 2 3 2 2 2" xfId="2481" xr:uid="{00000000-0005-0000-0000-0000E00C0000}"/>
    <cellStyle name="Moneda 8 2 3 2 2 2 2" xfId="2482" xr:uid="{00000000-0005-0000-0000-0000E10C0000}"/>
    <cellStyle name="Moneda 8 2 3 2 2 3" xfId="2483" xr:uid="{00000000-0005-0000-0000-0000E20C0000}"/>
    <cellStyle name="Moneda 8 2 3 2 2 3 2" xfId="2484" xr:uid="{00000000-0005-0000-0000-0000E30C0000}"/>
    <cellStyle name="Moneda 8 2 3 2 2 4" xfId="2485" xr:uid="{00000000-0005-0000-0000-0000E40C0000}"/>
    <cellStyle name="Moneda 8 2 3 2 2 4 2" xfId="2486" xr:uid="{00000000-0005-0000-0000-0000E50C0000}"/>
    <cellStyle name="Moneda 8 2 3 2 2 5" xfId="2487" xr:uid="{00000000-0005-0000-0000-0000E60C0000}"/>
    <cellStyle name="Moneda 8 2 3 2 3" xfId="2488" xr:uid="{00000000-0005-0000-0000-0000E70C0000}"/>
    <cellStyle name="Moneda 8 2 3 2 3 2" xfId="2489" xr:uid="{00000000-0005-0000-0000-0000E80C0000}"/>
    <cellStyle name="Moneda 8 2 3 2 4" xfId="2490" xr:uid="{00000000-0005-0000-0000-0000E90C0000}"/>
    <cellStyle name="Moneda 8 2 3 2 4 2" xfId="2491" xr:uid="{00000000-0005-0000-0000-0000EA0C0000}"/>
    <cellStyle name="Moneda 8 2 3 2 5" xfId="2492" xr:uid="{00000000-0005-0000-0000-0000EB0C0000}"/>
    <cellStyle name="Moneda 8 2 3 2 5 2" xfId="2493" xr:uid="{00000000-0005-0000-0000-0000EC0C0000}"/>
    <cellStyle name="Moneda 8 2 3 2 6" xfId="2494" xr:uid="{00000000-0005-0000-0000-0000ED0C0000}"/>
    <cellStyle name="Moneda 8 2 3 3" xfId="2495" xr:uid="{00000000-0005-0000-0000-0000EE0C0000}"/>
    <cellStyle name="Moneda 8 2 3 3 2" xfId="2496" xr:uid="{00000000-0005-0000-0000-0000EF0C0000}"/>
    <cellStyle name="Moneda 8 2 3 3 2 2" xfId="2497" xr:uid="{00000000-0005-0000-0000-0000F00C0000}"/>
    <cellStyle name="Moneda 8 2 3 3 3" xfId="2498" xr:uid="{00000000-0005-0000-0000-0000F10C0000}"/>
    <cellStyle name="Moneda 8 2 3 3 3 2" xfId="2499" xr:uid="{00000000-0005-0000-0000-0000F20C0000}"/>
    <cellStyle name="Moneda 8 2 3 3 4" xfId="2500" xr:uid="{00000000-0005-0000-0000-0000F30C0000}"/>
    <cellStyle name="Moneda 8 2 3 3 4 2" xfId="2501" xr:uid="{00000000-0005-0000-0000-0000F40C0000}"/>
    <cellStyle name="Moneda 8 2 3 3 5" xfId="2502" xr:uid="{00000000-0005-0000-0000-0000F50C0000}"/>
    <cellStyle name="Moneda 8 2 3 4" xfId="2503" xr:uid="{00000000-0005-0000-0000-0000F60C0000}"/>
    <cellStyle name="Moneda 8 2 3 4 2" xfId="2504" xr:uid="{00000000-0005-0000-0000-0000F70C0000}"/>
    <cellStyle name="Moneda 8 2 3 5" xfId="2505" xr:uid="{00000000-0005-0000-0000-0000F80C0000}"/>
    <cellStyle name="Moneda 8 2 3 5 2" xfId="2506" xr:uid="{00000000-0005-0000-0000-0000F90C0000}"/>
    <cellStyle name="Moneda 8 2 3 6" xfId="2507" xr:uid="{00000000-0005-0000-0000-0000FA0C0000}"/>
    <cellStyle name="Moneda 8 2 3 6 2" xfId="2508" xr:uid="{00000000-0005-0000-0000-0000FB0C0000}"/>
    <cellStyle name="Moneda 8 2 3 7" xfId="2509" xr:uid="{00000000-0005-0000-0000-0000FC0C0000}"/>
    <cellStyle name="Moneda 8 2 4" xfId="2510" xr:uid="{00000000-0005-0000-0000-0000FD0C0000}"/>
    <cellStyle name="Moneda 8 2 4 2" xfId="2511" xr:uid="{00000000-0005-0000-0000-0000FE0C0000}"/>
    <cellStyle name="Moneda 8 2 4 2 2" xfId="2512" xr:uid="{00000000-0005-0000-0000-0000FF0C0000}"/>
    <cellStyle name="Moneda 8 2 4 2 2 2" xfId="2513" xr:uid="{00000000-0005-0000-0000-0000000D0000}"/>
    <cellStyle name="Moneda 8 2 4 2 2 2 2" xfId="2514" xr:uid="{00000000-0005-0000-0000-0000010D0000}"/>
    <cellStyle name="Moneda 8 2 4 2 2 3" xfId="2515" xr:uid="{00000000-0005-0000-0000-0000020D0000}"/>
    <cellStyle name="Moneda 8 2 4 2 2 3 2" xfId="2516" xr:uid="{00000000-0005-0000-0000-0000030D0000}"/>
    <cellStyle name="Moneda 8 2 4 2 2 4" xfId="2517" xr:uid="{00000000-0005-0000-0000-0000040D0000}"/>
    <cellStyle name="Moneda 8 2 4 2 2 4 2" xfId="2518" xr:uid="{00000000-0005-0000-0000-0000050D0000}"/>
    <cellStyle name="Moneda 8 2 4 2 2 5" xfId="2519" xr:uid="{00000000-0005-0000-0000-0000060D0000}"/>
    <cellStyle name="Moneda 8 2 4 2 3" xfId="2520" xr:uid="{00000000-0005-0000-0000-0000070D0000}"/>
    <cellStyle name="Moneda 8 2 4 2 3 2" xfId="2521" xr:uid="{00000000-0005-0000-0000-0000080D0000}"/>
    <cellStyle name="Moneda 8 2 4 2 4" xfId="2522" xr:uid="{00000000-0005-0000-0000-0000090D0000}"/>
    <cellStyle name="Moneda 8 2 4 2 4 2" xfId="2523" xr:uid="{00000000-0005-0000-0000-00000A0D0000}"/>
    <cellStyle name="Moneda 8 2 4 2 5" xfId="2524" xr:uid="{00000000-0005-0000-0000-00000B0D0000}"/>
    <cellStyle name="Moneda 8 2 4 2 5 2" xfId="2525" xr:uid="{00000000-0005-0000-0000-00000C0D0000}"/>
    <cellStyle name="Moneda 8 2 4 2 6" xfId="2526" xr:uid="{00000000-0005-0000-0000-00000D0D0000}"/>
    <cellStyle name="Moneda 8 2 4 3" xfId="2527" xr:uid="{00000000-0005-0000-0000-00000E0D0000}"/>
    <cellStyle name="Moneda 8 2 4 3 2" xfId="2528" xr:uid="{00000000-0005-0000-0000-00000F0D0000}"/>
    <cellStyle name="Moneda 8 2 4 3 2 2" xfId="2529" xr:uid="{00000000-0005-0000-0000-0000100D0000}"/>
    <cellStyle name="Moneda 8 2 4 3 3" xfId="2530" xr:uid="{00000000-0005-0000-0000-0000110D0000}"/>
    <cellStyle name="Moneda 8 2 4 3 3 2" xfId="2531" xr:uid="{00000000-0005-0000-0000-0000120D0000}"/>
    <cellStyle name="Moneda 8 2 4 3 4" xfId="2532" xr:uid="{00000000-0005-0000-0000-0000130D0000}"/>
    <cellStyle name="Moneda 8 2 4 3 4 2" xfId="2533" xr:uid="{00000000-0005-0000-0000-0000140D0000}"/>
    <cellStyle name="Moneda 8 2 4 3 5" xfId="2534" xr:uid="{00000000-0005-0000-0000-0000150D0000}"/>
    <cellStyle name="Moneda 8 2 4 4" xfId="2535" xr:uid="{00000000-0005-0000-0000-0000160D0000}"/>
    <cellStyle name="Moneda 8 2 4 4 2" xfId="2536" xr:uid="{00000000-0005-0000-0000-0000170D0000}"/>
    <cellStyle name="Moneda 8 2 4 5" xfId="2537" xr:uid="{00000000-0005-0000-0000-0000180D0000}"/>
    <cellStyle name="Moneda 8 2 4 5 2" xfId="2538" xr:uid="{00000000-0005-0000-0000-0000190D0000}"/>
    <cellStyle name="Moneda 8 2 4 6" xfId="2539" xr:uid="{00000000-0005-0000-0000-00001A0D0000}"/>
    <cellStyle name="Moneda 8 2 4 6 2" xfId="2540" xr:uid="{00000000-0005-0000-0000-00001B0D0000}"/>
    <cellStyle name="Moneda 8 2 4 7" xfId="2541" xr:uid="{00000000-0005-0000-0000-00001C0D0000}"/>
    <cellStyle name="Moneda 8 2 5" xfId="2542" xr:uid="{00000000-0005-0000-0000-00001D0D0000}"/>
    <cellStyle name="Moneda 8 2 5 2" xfId="2543" xr:uid="{00000000-0005-0000-0000-00001E0D0000}"/>
    <cellStyle name="Moneda 8 2 5 2 2" xfId="2544" xr:uid="{00000000-0005-0000-0000-00001F0D0000}"/>
    <cellStyle name="Moneda 8 2 5 2 2 2" xfId="2545" xr:uid="{00000000-0005-0000-0000-0000200D0000}"/>
    <cellStyle name="Moneda 8 2 5 2 3" xfId="2546" xr:uid="{00000000-0005-0000-0000-0000210D0000}"/>
    <cellStyle name="Moneda 8 2 5 2 3 2" xfId="2547" xr:uid="{00000000-0005-0000-0000-0000220D0000}"/>
    <cellStyle name="Moneda 8 2 5 2 4" xfId="2548" xr:uid="{00000000-0005-0000-0000-0000230D0000}"/>
    <cellStyle name="Moneda 8 2 5 2 4 2" xfId="2549" xr:uid="{00000000-0005-0000-0000-0000240D0000}"/>
    <cellStyle name="Moneda 8 2 5 2 5" xfId="2550" xr:uid="{00000000-0005-0000-0000-0000250D0000}"/>
    <cellStyle name="Moneda 8 2 5 3" xfId="2551" xr:uid="{00000000-0005-0000-0000-0000260D0000}"/>
    <cellStyle name="Moneda 8 2 5 3 2" xfId="2552" xr:uid="{00000000-0005-0000-0000-0000270D0000}"/>
    <cellStyle name="Moneda 8 2 5 4" xfId="2553" xr:uid="{00000000-0005-0000-0000-0000280D0000}"/>
    <cellStyle name="Moneda 8 2 5 4 2" xfId="2554" xr:uid="{00000000-0005-0000-0000-0000290D0000}"/>
    <cellStyle name="Moneda 8 2 5 5" xfId="2555" xr:uid="{00000000-0005-0000-0000-00002A0D0000}"/>
    <cellStyle name="Moneda 8 2 5 5 2" xfId="2556" xr:uid="{00000000-0005-0000-0000-00002B0D0000}"/>
    <cellStyle name="Moneda 8 2 5 6" xfId="2557" xr:uid="{00000000-0005-0000-0000-00002C0D0000}"/>
    <cellStyle name="Moneda 8 2 6" xfId="2558" xr:uid="{00000000-0005-0000-0000-00002D0D0000}"/>
    <cellStyle name="Moneda 8 2 6 2" xfId="2559" xr:uid="{00000000-0005-0000-0000-00002E0D0000}"/>
    <cellStyle name="Moneda 8 2 6 2 2" xfId="2560" xr:uid="{00000000-0005-0000-0000-00002F0D0000}"/>
    <cellStyle name="Moneda 8 2 6 3" xfId="2561" xr:uid="{00000000-0005-0000-0000-0000300D0000}"/>
    <cellStyle name="Moneda 8 2 6 3 2" xfId="2562" xr:uid="{00000000-0005-0000-0000-0000310D0000}"/>
    <cellStyle name="Moneda 8 2 6 4" xfId="2563" xr:uid="{00000000-0005-0000-0000-0000320D0000}"/>
    <cellStyle name="Moneda 8 2 6 4 2" xfId="2564" xr:uid="{00000000-0005-0000-0000-0000330D0000}"/>
    <cellStyle name="Moneda 8 2 6 5" xfId="2565" xr:uid="{00000000-0005-0000-0000-0000340D0000}"/>
    <cellStyle name="Moneda 8 2 7" xfId="2566" xr:uid="{00000000-0005-0000-0000-0000350D0000}"/>
    <cellStyle name="Moneda 8 2 7 2" xfId="2567" xr:uid="{00000000-0005-0000-0000-0000360D0000}"/>
    <cellStyle name="Moneda 8 2 8" xfId="2568" xr:uid="{00000000-0005-0000-0000-0000370D0000}"/>
    <cellStyle name="Moneda 8 2 8 2" xfId="2569" xr:uid="{00000000-0005-0000-0000-0000380D0000}"/>
    <cellStyle name="Moneda 8 2 9" xfId="2570" xr:uid="{00000000-0005-0000-0000-0000390D0000}"/>
    <cellStyle name="Moneda 8 2 9 2" xfId="2571" xr:uid="{00000000-0005-0000-0000-00003A0D0000}"/>
    <cellStyle name="Moneda 8 3" xfId="2572" xr:uid="{00000000-0005-0000-0000-00003B0D0000}"/>
    <cellStyle name="Moneda 8 3 2" xfId="2573" xr:uid="{00000000-0005-0000-0000-00003C0D0000}"/>
    <cellStyle name="Moneda 8 3 2 2" xfId="2574" xr:uid="{00000000-0005-0000-0000-00003D0D0000}"/>
    <cellStyle name="Moneda 8 3 2 2 2" xfId="2575" xr:uid="{00000000-0005-0000-0000-00003E0D0000}"/>
    <cellStyle name="Moneda 8 3 2 2 2 2" xfId="2576" xr:uid="{00000000-0005-0000-0000-00003F0D0000}"/>
    <cellStyle name="Moneda 8 3 2 2 3" xfId="2577" xr:uid="{00000000-0005-0000-0000-0000400D0000}"/>
    <cellStyle name="Moneda 8 3 2 2 3 2" xfId="2578" xr:uid="{00000000-0005-0000-0000-0000410D0000}"/>
    <cellStyle name="Moneda 8 3 2 2 4" xfId="2579" xr:uid="{00000000-0005-0000-0000-0000420D0000}"/>
    <cellStyle name="Moneda 8 3 2 2 4 2" xfId="2580" xr:uid="{00000000-0005-0000-0000-0000430D0000}"/>
    <cellStyle name="Moneda 8 3 2 2 5" xfId="2581" xr:uid="{00000000-0005-0000-0000-0000440D0000}"/>
    <cellStyle name="Moneda 8 3 2 3" xfId="2582" xr:uid="{00000000-0005-0000-0000-0000450D0000}"/>
    <cellStyle name="Moneda 8 3 2 3 2" xfId="2583" xr:uid="{00000000-0005-0000-0000-0000460D0000}"/>
    <cellStyle name="Moneda 8 3 2 4" xfId="2584" xr:uid="{00000000-0005-0000-0000-0000470D0000}"/>
    <cellStyle name="Moneda 8 3 2 4 2" xfId="2585" xr:uid="{00000000-0005-0000-0000-0000480D0000}"/>
    <cellStyle name="Moneda 8 3 2 5" xfId="2586" xr:uid="{00000000-0005-0000-0000-0000490D0000}"/>
    <cellStyle name="Moneda 8 3 2 5 2" xfId="2587" xr:uid="{00000000-0005-0000-0000-00004A0D0000}"/>
    <cellStyle name="Moneda 8 3 2 6" xfId="2588" xr:uid="{00000000-0005-0000-0000-00004B0D0000}"/>
    <cellStyle name="Moneda 8 3 3" xfId="2589" xr:uid="{00000000-0005-0000-0000-00004C0D0000}"/>
    <cellStyle name="Moneda 8 3 3 2" xfId="2590" xr:uid="{00000000-0005-0000-0000-00004D0D0000}"/>
    <cellStyle name="Moneda 8 3 3 2 2" xfId="2591" xr:uid="{00000000-0005-0000-0000-00004E0D0000}"/>
    <cellStyle name="Moneda 8 3 3 3" xfId="2592" xr:uid="{00000000-0005-0000-0000-00004F0D0000}"/>
    <cellStyle name="Moneda 8 3 3 3 2" xfId="2593" xr:uid="{00000000-0005-0000-0000-0000500D0000}"/>
    <cellStyle name="Moneda 8 3 3 4" xfId="2594" xr:uid="{00000000-0005-0000-0000-0000510D0000}"/>
    <cellStyle name="Moneda 8 3 3 4 2" xfId="2595" xr:uid="{00000000-0005-0000-0000-0000520D0000}"/>
    <cellStyle name="Moneda 8 3 3 5" xfId="2596" xr:uid="{00000000-0005-0000-0000-0000530D0000}"/>
    <cellStyle name="Moneda 8 3 4" xfId="2597" xr:uid="{00000000-0005-0000-0000-0000540D0000}"/>
    <cellStyle name="Moneda 8 3 4 2" xfId="2598" xr:uid="{00000000-0005-0000-0000-0000550D0000}"/>
    <cellStyle name="Moneda 8 3 5" xfId="2599" xr:uid="{00000000-0005-0000-0000-0000560D0000}"/>
    <cellStyle name="Moneda 8 3 5 2" xfId="2600" xr:uid="{00000000-0005-0000-0000-0000570D0000}"/>
    <cellStyle name="Moneda 8 3 6" xfId="2601" xr:uid="{00000000-0005-0000-0000-0000580D0000}"/>
    <cellStyle name="Moneda 8 3 6 2" xfId="2602" xr:uid="{00000000-0005-0000-0000-0000590D0000}"/>
    <cellStyle name="Moneda 8 3 7" xfId="2603" xr:uid="{00000000-0005-0000-0000-00005A0D0000}"/>
    <cellStyle name="Moneda 8 4" xfId="2604" xr:uid="{00000000-0005-0000-0000-00005B0D0000}"/>
    <cellStyle name="Moneda 8 4 2" xfId="2605" xr:uid="{00000000-0005-0000-0000-00005C0D0000}"/>
    <cellStyle name="Moneda 8 4 2 2" xfId="2606" xr:uid="{00000000-0005-0000-0000-00005D0D0000}"/>
    <cellStyle name="Moneda 8 4 2 2 2" xfId="2607" xr:uid="{00000000-0005-0000-0000-00005E0D0000}"/>
    <cellStyle name="Moneda 8 4 2 2 2 2" xfId="2608" xr:uid="{00000000-0005-0000-0000-00005F0D0000}"/>
    <cellStyle name="Moneda 8 4 2 2 3" xfId="2609" xr:uid="{00000000-0005-0000-0000-0000600D0000}"/>
    <cellStyle name="Moneda 8 4 2 2 3 2" xfId="2610" xr:uid="{00000000-0005-0000-0000-0000610D0000}"/>
    <cellStyle name="Moneda 8 4 2 2 4" xfId="2611" xr:uid="{00000000-0005-0000-0000-0000620D0000}"/>
    <cellStyle name="Moneda 8 4 2 2 4 2" xfId="2612" xr:uid="{00000000-0005-0000-0000-0000630D0000}"/>
    <cellStyle name="Moneda 8 4 2 2 5" xfId="2613" xr:uid="{00000000-0005-0000-0000-0000640D0000}"/>
    <cellStyle name="Moneda 8 4 2 3" xfId="2614" xr:uid="{00000000-0005-0000-0000-0000650D0000}"/>
    <cellStyle name="Moneda 8 4 2 3 2" xfId="2615" xr:uid="{00000000-0005-0000-0000-0000660D0000}"/>
    <cellStyle name="Moneda 8 4 2 4" xfId="2616" xr:uid="{00000000-0005-0000-0000-0000670D0000}"/>
    <cellStyle name="Moneda 8 4 2 4 2" xfId="2617" xr:uid="{00000000-0005-0000-0000-0000680D0000}"/>
    <cellStyle name="Moneda 8 4 2 5" xfId="2618" xr:uid="{00000000-0005-0000-0000-0000690D0000}"/>
    <cellStyle name="Moneda 8 4 2 5 2" xfId="2619" xr:uid="{00000000-0005-0000-0000-00006A0D0000}"/>
    <cellStyle name="Moneda 8 4 2 6" xfId="2620" xr:uid="{00000000-0005-0000-0000-00006B0D0000}"/>
    <cellStyle name="Moneda 8 4 3" xfId="2621" xr:uid="{00000000-0005-0000-0000-00006C0D0000}"/>
    <cellStyle name="Moneda 8 4 3 2" xfId="2622" xr:uid="{00000000-0005-0000-0000-00006D0D0000}"/>
    <cellStyle name="Moneda 8 4 3 2 2" xfId="2623" xr:uid="{00000000-0005-0000-0000-00006E0D0000}"/>
    <cellStyle name="Moneda 8 4 3 3" xfId="2624" xr:uid="{00000000-0005-0000-0000-00006F0D0000}"/>
    <cellStyle name="Moneda 8 4 3 3 2" xfId="2625" xr:uid="{00000000-0005-0000-0000-0000700D0000}"/>
    <cellStyle name="Moneda 8 4 3 4" xfId="2626" xr:uid="{00000000-0005-0000-0000-0000710D0000}"/>
    <cellStyle name="Moneda 8 4 3 4 2" xfId="2627" xr:uid="{00000000-0005-0000-0000-0000720D0000}"/>
    <cellStyle name="Moneda 8 4 3 5" xfId="2628" xr:uid="{00000000-0005-0000-0000-0000730D0000}"/>
    <cellStyle name="Moneda 8 4 4" xfId="2629" xr:uid="{00000000-0005-0000-0000-0000740D0000}"/>
    <cellStyle name="Moneda 8 4 4 2" xfId="2630" xr:uid="{00000000-0005-0000-0000-0000750D0000}"/>
    <cellStyle name="Moneda 8 4 5" xfId="2631" xr:uid="{00000000-0005-0000-0000-0000760D0000}"/>
    <cellStyle name="Moneda 8 4 5 2" xfId="2632" xr:uid="{00000000-0005-0000-0000-0000770D0000}"/>
    <cellStyle name="Moneda 8 4 6" xfId="2633" xr:uid="{00000000-0005-0000-0000-0000780D0000}"/>
    <cellStyle name="Moneda 8 4 6 2" xfId="2634" xr:uid="{00000000-0005-0000-0000-0000790D0000}"/>
    <cellStyle name="Moneda 8 4 7" xfId="2635" xr:uid="{00000000-0005-0000-0000-00007A0D0000}"/>
    <cellStyle name="Moneda 8 5" xfId="2636" xr:uid="{00000000-0005-0000-0000-00007B0D0000}"/>
    <cellStyle name="Moneda 8 5 2" xfId="2637" xr:uid="{00000000-0005-0000-0000-00007C0D0000}"/>
    <cellStyle name="Moneda 8 5 2 2" xfId="2638" xr:uid="{00000000-0005-0000-0000-00007D0D0000}"/>
    <cellStyle name="Moneda 8 5 2 2 2" xfId="2639" xr:uid="{00000000-0005-0000-0000-00007E0D0000}"/>
    <cellStyle name="Moneda 8 5 2 2 2 2" xfId="2640" xr:uid="{00000000-0005-0000-0000-00007F0D0000}"/>
    <cellStyle name="Moneda 8 5 2 2 3" xfId="2641" xr:uid="{00000000-0005-0000-0000-0000800D0000}"/>
    <cellStyle name="Moneda 8 5 2 2 3 2" xfId="2642" xr:uid="{00000000-0005-0000-0000-0000810D0000}"/>
    <cellStyle name="Moneda 8 5 2 2 4" xfId="2643" xr:uid="{00000000-0005-0000-0000-0000820D0000}"/>
    <cellStyle name="Moneda 8 5 2 2 4 2" xfId="2644" xr:uid="{00000000-0005-0000-0000-0000830D0000}"/>
    <cellStyle name="Moneda 8 5 2 2 5" xfId="2645" xr:uid="{00000000-0005-0000-0000-0000840D0000}"/>
    <cellStyle name="Moneda 8 5 2 3" xfId="2646" xr:uid="{00000000-0005-0000-0000-0000850D0000}"/>
    <cellStyle name="Moneda 8 5 2 3 2" xfId="2647" xr:uid="{00000000-0005-0000-0000-0000860D0000}"/>
    <cellStyle name="Moneda 8 5 2 4" xfId="2648" xr:uid="{00000000-0005-0000-0000-0000870D0000}"/>
    <cellStyle name="Moneda 8 5 2 4 2" xfId="2649" xr:uid="{00000000-0005-0000-0000-0000880D0000}"/>
    <cellStyle name="Moneda 8 5 2 5" xfId="2650" xr:uid="{00000000-0005-0000-0000-0000890D0000}"/>
    <cellStyle name="Moneda 8 5 2 5 2" xfId="2651" xr:uid="{00000000-0005-0000-0000-00008A0D0000}"/>
    <cellStyle name="Moneda 8 5 2 6" xfId="2652" xr:uid="{00000000-0005-0000-0000-00008B0D0000}"/>
    <cellStyle name="Moneda 8 5 3" xfId="2653" xr:uid="{00000000-0005-0000-0000-00008C0D0000}"/>
    <cellStyle name="Moneda 8 5 3 2" xfId="2654" xr:uid="{00000000-0005-0000-0000-00008D0D0000}"/>
    <cellStyle name="Moneda 8 5 3 2 2" xfId="2655" xr:uid="{00000000-0005-0000-0000-00008E0D0000}"/>
    <cellStyle name="Moneda 8 5 3 3" xfId="2656" xr:uid="{00000000-0005-0000-0000-00008F0D0000}"/>
    <cellStyle name="Moneda 8 5 3 3 2" xfId="2657" xr:uid="{00000000-0005-0000-0000-0000900D0000}"/>
    <cellStyle name="Moneda 8 5 3 4" xfId="2658" xr:uid="{00000000-0005-0000-0000-0000910D0000}"/>
    <cellStyle name="Moneda 8 5 3 4 2" xfId="2659" xr:uid="{00000000-0005-0000-0000-0000920D0000}"/>
    <cellStyle name="Moneda 8 5 3 5" xfId="2660" xr:uid="{00000000-0005-0000-0000-0000930D0000}"/>
    <cellStyle name="Moneda 8 5 4" xfId="2661" xr:uid="{00000000-0005-0000-0000-0000940D0000}"/>
    <cellStyle name="Moneda 8 5 4 2" xfId="2662" xr:uid="{00000000-0005-0000-0000-0000950D0000}"/>
    <cellStyle name="Moneda 8 5 5" xfId="2663" xr:uid="{00000000-0005-0000-0000-0000960D0000}"/>
    <cellStyle name="Moneda 8 5 5 2" xfId="2664" xr:uid="{00000000-0005-0000-0000-0000970D0000}"/>
    <cellStyle name="Moneda 8 5 6" xfId="2665" xr:uid="{00000000-0005-0000-0000-0000980D0000}"/>
    <cellStyle name="Moneda 8 5 6 2" xfId="2666" xr:uid="{00000000-0005-0000-0000-0000990D0000}"/>
    <cellStyle name="Moneda 8 5 7" xfId="2667" xr:uid="{00000000-0005-0000-0000-00009A0D0000}"/>
    <cellStyle name="Moneda 8 6" xfId="2668" xr:uid="{00000000-0005-0000-0000-00009B0D0000}"/>
    <cellStyle name="Moneda 8 6 2" xfId="2669" xr:uid="{00000000-0005-0000-0000-00009C0D0000}"/>
    <cellStyle name="Moneda 8 6 2 2" xfId="2670" xr:uid="{00000000-0005-0000-0000-00009D0D0000}"/>
    <cellStyle name="Moneda 8 6 2 2 2" xfId="2671" xr:uid="{00000000-0005-0000-0000-00009E0D0000}"/>
    <cellStyle name="Moneda 8 6 2 3" xfId="2672" xr:uid="{00000000-0005-0000-0000-00009F0D0000}"/>
    <cellStyle name="Moneda 8 6 2 3 2" xfId="2673" xr:uid="{00000000-0005-0000-0000-0000A00D0000}"/>
    <cellStyle name="Moneda 8 6 2 4" xfId="2674" xr:uid="{00000000-0005-0000-0000-0000A10D0000}"/>
    <cellStyle name="Moneda 8 6 2 4 2" xfId="2675" xr:uid="{00000000-0005-0000-0000-0000A20D0000}"/>
    <cellStyle name="Moneda 8 6 2 5" xfId="2676" xr:uid="{00000000-0005-0000-0000-0000A30D0000}"/>
    <cellStyle name="Moneda 8 6 3" xfId="2677" xr:uid="{00000000-0005-0000-0000-0000A40D0000}"/>
    <cellStyle name="Moneda 8 6 3 2" xfId="2678" xr:uid="{00000000-0005-0000-0000-0000A50D0000}"/>
    <cellStyle name="Moneda 8 6 4" xfId="2679" xr:uid="{00000000-0005-0000-0000-0000A60D0000}"/>
    <cellStyle name="Moneda 8 6 4 2" xfId="2680" xr:uid="{00000000-0005-0000-0000-0000A70D0000}"/>
    <cellStyle name="Moneda 8 6 5" xfId="2681" xr:uid="{00000000-0005-0000-0000-0000A80D0000}"/>
    <cellStyle name="Moneda 8 6 5 2" xfId="2682" xr:uid="{00000000-0005-0000-0000-0000A90D0000}"/>
    <cellStyle name="Moneda 8 6 6" xfId="2683" xr:uid="{00000000-0005-0000-0000-0000AA0D0000}"/>
    <cellStyle name="Moneda 8 7" xfId="2684" xr:uid="{00000000-0005-0000-0000-0000AB0D0000}"/>
    <cellStyle name="Moneda 8 7 2" xfId="2685" xr:uid="{00000000-0005-0000-0000-0000AC0D0000}"/>
    <cellStyle name="Moneda 8 7 2 2" xfId="2686" xr:uid="{00000000-0005-0000-0000-0000AD0D0000}"/>
    <cellStyle name="Moneda 8 7 3" xfId="2687" xr:uid="{00000000-0005-0000-0000-0000AE0D0000}"/>
    <cellStyle name="Moneda 8 7 3 2" xfId="2688" xr:uid="{00000000-0005-0000-0000-0000AF0D0000}"/>
    <cellStyle name="Moneda 8 7 4" xfId="2689" xr:uid="{00000000-0005-0000-0000-0000B00D0000}"/>
    <cellStyle name="Moneda 8 7 4 2" xfId="2690" xr:uid="{00000000-0005-0000-0000-0000B10D0000}"/>
    <cellStyle name="Moneda 8 7 5" xfId="2691" xr:uid="{00000000-0005-0000-0000-0000B20D0000}"/>
    <cellStyle name="Moneda 8 8" xfId="2692" xr:uid="{00000000-0005-0000-0000-0000B30D0000}"/>
    <cellStyle name="Moneda 8 8 2" xfId="2693" xr:uid="{00000000-0005-0000-0000-0000B40D0000}"/>
    <cellStyle name="Moneda 8 8 2 2" xfId="2694" xr:uid="{00000000-0005-0000-0000-0000B50D0000}"/>
    <cellStyle name="Moneda 8 8 3" xfId="2695" xr:uid="{00000000-0005-0000-0000-0000B60D0000}"/>
    <cellStyle name="Moneda 8 8 3 2" xfId="2696" xr:uid="{00000000-0005-0000-0000-0000B70D0000}"/>
    <cellStyle name="Moneda 8 8 4" xfId="2697" xr:uid="{00000000-0005-0000-0000-0000B80D0000}"/>
    <cellStyle name="Moneda 8 8 4 2" xfId="2698" xr:uid="{00000000-0005-0000-0000-0000B90D0000}"/>
    <cellStyle name="Moneda 8 8 5" xfId="2699" xr:uid="{00000000-0005-0000-0000-0000BA0D0000}"/>
    <cellStyle name="Moneda 8 9" xfId="2700" xr:uid="{00000000-0005-0000-0000-0000BB0D0000}"/>
    <cellStyle name="Moneda 8 9 2" xfId="2701" xr:uid="{00000000-0005-0000-0000-0000BC0D0000}"/>
    <cellStyle name="Moneda 9" xfId="2702" xr:uid="{00000000-0005-0000-0000-0000BD0D0000}"/>
    <cellStyle name="Moneda 9 10" xfId="2703" xr:uid="{00000000-0005-0000-0000-0000BE0D0000}"/>
    <cellStyle name="Moneda 9 11" xfId="2704" xr:uid="{00000000-0005-0000-0000-0000BF0D0000}"/>
    <cellStyle name="Moneda 9 2" xfId="2705" xr:uid="{00000000-0005-0000-0000-0000C00D0000}"/>
    <cellStyle name="Moneda 9 2 2" xfId="2706" xr:uid="{00000000-0005-0000-0000-0000C10D0000}"/>
    <cellStyle name="Moneda 9 2 2 2" xfId="2707" xr:uid="{00000000-0005-0000-0000-0000C20D0000}"/>
    <cellStyle name="Moneda 9 2 2 2 2" xfId="2708" xr:uid="{00000000-0005-0000-0000-0000C30D0000}"/>
    <cellStyle name="Moneda 9 2 2 2 2 2" xfId="2709" xr:uid="{00000000-0005-0000-0000-0000C40D0000}"/>
    <cellStyle name="Moneda 9 2 2 2 3" xfId="2710" xr:uid="{00000000-0005-0000-0000-0000C50D0000}"/>
    <cellStyle name="Moneda 9 2 2 2 3 2" xfId="2711" xr:uid="{00000000-0005-0000-0000-0000C60D0000}"/>
    <cellStyle name="Moneda 9 2 2 2 4" xfId="2712" xr:uid="{00000000-0005-0000-0000-0000C70D0000}"/>
    <cellStyle name="Moneda 9 2 2 2 4 2" xfId="2713" xr:uid="{00000000-0005-0000-0000-0000C80D0000}"/>
    <cellStyle name="Moneda 9 2 2 2 5" xfId="2714" xr:uid="{00000000-0005-0000-0000-0000C90D0000}"/>
    <cellStyle name="Moneda 9 2 2 3" xfId="2715" xr:uid="{00000000-0005-0000-0000-0000CA0D0000}"/>
    <cellStyle name="Moneda 9 2 2 3 2" xfId="2716" xr:uid="{00000000-0005-0000-0000-0000CB0D0000}"/>
    <cellStyle name="Moneda 9 2 2 4" xfId="2717" xr:uid="{00000000-0005-0000-0000-0000CC0D0000}"/>
    <cellStyle name="Moneda 9 2 2 4 2" xfId="2718" xr:uid="{00000000-0005-0000-0000-0000CD0D0000}"/>
    <cellStyle name="Moneda 9 2 2 5" xfId="2719" xr:uid="{00000000-0005-0000-0000-0000CE0D0000}"/>
    <cellStyle name="Moneda 9 2 2 5 2" xfId="2720" xr:uid="{00000000-0005-0000-0000-0000CF0D0000}"/>
    <cellStyle name="Moneda 9 2 2 6" xfId="2721" xr:uid="{00000000-0005-0000-0000-0000D00D0000}"/>
    <cellStyle name="Moneda 9 2 3" xfId="2722" xr:uid="{00000000-0005-0000-0000-0000D10D0000}"/>
    <cellStyle name="Moneda 9 2 3 2" xfId="2723" xr:uid="{00000000-0005-0000-0000-0000D20D0000}"/>
    <cellStyle name="Moneda 9 2 3 2 2" xfId="2724" xr:uid="{00000000-0005-0000-0000-0000D30D0000}"/>
    <cellStyle name="Moneda 9 2 3 3" xfId="2725" xr:uid="{00000000-0005-0000-0000-0000D40D0000}"/>
    <cellStyle name="Moneda 9 2 3 3 2" xfId="2726" xr:uid="{00000000-0005-0000-0000-0000D50D0000}"/>
    <cellStyle name="Moneda 9 2 3 4" xfId="2727" xr:uid="{00000000-0005-0000-0000-0000D60D0000}"/>
    <cellStyle name="Moneda 9 2 3 4 2" xfId="2728" xr:uid="{00000000-0005-0000-0000-0000D70D0000}"/>
    <cellStyle name="Moneda 9 2 3 5" xfId="2729" xr:uid="{00000000-0005-0000-0000-0000D80D0000}"/>
    <cellStyle name="Moneda 9 2 4" xfId="2730" xr:uid="{00000000-0005-0000-0000-0000D90D0000}"/>
    <cellStyle name="Moneda 9 2 4 2" xfId="2731" xr:uid="{00000000-0005-0000-0000-0000DA0D0000}"/>
    <cellStyle name="Moneda 9 2 5" xfId="2732" xr:uid="{00000000-0005-0000-0000-0000DB0D0000}"/>
    <cellStyle name="Moneda 9 2 5 2" xfId="2733" xr:uid="{00000000-0005-0000-0000-0000DC0D0000}"/>
    <cellStyle name="Moneda 9 2 6" xfId="2734" xr:uid="{00000000-0005-0000-0000-0000DD0D0000}"/>
    <cellStyle name="Moneda 9 2 6 2" xfId="2735" xr:uid="{00000000-0005-0000-0000-0000DE0D0000}"/>
    <cellStyle name="Moneda 9 2 7" xfId="2736" xr:uid="{00000000-0005-0000-0000-0000DF0D0000}"/>
    <cellStyle name="Moneda 9 2 8" xfId="2737" xr:uid="{00000000-0005-0000-0000-0000E00D0000}"/>
    <cellStyle name="Moneda 9 3" xfId="2738" xr:uid="{00000000-0005-0000-0000-0000E10D0000}"/>
    <cellStyle name="Moneda 9 3 2" xfId="2739" xr:uid="{00000000-0005-0000-0000-0000E20D0000}"/>
    <cellStyle name="Moneda 9 3 2 2" xfId="2740" xr:uid="{00000000-0005-0000-0000-0000E30D0000}"/>
    <cellStyle name="Moneda 9 3 2 2 2" xfId="2741" xr:uid="{00000000-0005-0000-0000-0000E40D0000}"/>
    <cellStyle name="Moneda 9 3 2 2 2 2" xfId="2742" xr:uid="{00000000-0005-0000-0000-0000E50D0000}"/>
    <cellStyle name="Moneda 9 3 2 2 3" xfId="2743" xr:uid="{00000000-0005-0000-0000-0000E60D0000}"/>
    <cellStyle name="Moneda 9 3 2 2 3 2" xfId="2744" xr:uid="{00000000-0005-0000-0000-0000E70D0000}"/>
    <cellStyle name="Moneda 9 3 2 2 4" xfId="2745" xr:uid="{00000000-0005-0000-0000-0000E80D0000}"/>
    <cellStyle name="Moneda 9 3 2 2 4 2" xfId="2746" xr:uid="{00000000-0005-0000-0000-0000E90D0000}"/>
    <cellStyle name="Moneda 9 3 2 2 5" xfId="2747" xr:uid="{00000000-0005-0000-0000-0000EA0D0000}"/>
    <cellStyle name="Moneda 9 3 2 3" xfId="2748" xr:uid="{00000000-0005-0000-0000-0000EB0D0000}"/>
    <cellStyle name="Moneda 9 3 2 3 2" xfId="2749" xr:uid="{00000000-0005-0000-0000-0000EC0D0000}"/>
    <cellStyle name="Moneda 9 3 2 4" xfId="2750" xr:uid="{00000000-0005-0000-0000-0000ED0D0000}"/>
    <cellStyle name="Moneda 9 3 2 4 2" xfId="2751" xr:uid="{00000000-0005-0000-0000-0000EE0D0000}"/>
    <cellStyle name="Moneda 9 3 2 5" xfId="2752" xr:uid="{00000000-0005-0000-0000-0000EF0D0000}"/>
    <cellStyle name="Moneda 9 3 2 5 2" xfId="2753" xr:uid="{00000000-0005-0000-0000-0000F00D0000}"/>
    <cellStyle name="Moneda 9 3 2 6" xfId="2754" xr:uid="{00000000-0005-0000-0000-0000F10D0000}"/>
    <cellStyle name="Moneda 9 3 3" xfId="2755" xr:uid="{00000000-0005-0000-0000-0000F20D0000}"/>
    <cellStyle name="Moneda 9 3 3 2" xfId="2756" xr:uid="{00000000-0005-0000-0000-0000F30D0000}"/>
    <cellStyle name="Moneda 9 3 3 2 2" xfId="2757" xr:uid="{00000000-0005-0000-0000-0000F40D0000}"/>
    <cellStyle name="Moneda 9 3 3 3" xfId="2758" xr:uid="{00000000-0005-0000-0000-0000F50D0000}"/>
    <cellStyle name="Moneda 9 3 3 3 2" xfId="2759" xr:uid="{00000000-0005-0000-0000-0000F60D0000}"/>
    <cellStyle name="Moneda 9 3 3 4" xfId="2760" xr:uid="{00000000-0005-0000-0000-0000F70D0000}"/>
    <cellStyle name="Moneda 9 3 3 4 2" xfId="2761" xr:uid="{00000000-0005-0000-0000-0000F80D0000}"/>
    <cellStyle name="Moneda 9 3 3 5" xfId="2762" xr:uid="{00000000-0005-0000-0000-0000F90D0000}"/>
    <cellStyle name="Moneda 9 3 4" xfId="2763" xr:uid="{00000000-0005-0000-0000-0000FA0D0000}"/>
    <cellStyle name="Moneda 9 3 4 2" xfId="2764" xr:uid="{00000000-0005-0000-0000-0000FB0D0000}"/>
    <cellStyle name="Moneda 9 3 5" xfId="2765" xr:uid="{00000000-0005-0000-0000-0000FC0D0000}"/>
    <cellStyle name="Moneda 9 3 5 2" xfId="2766" xr:uid="{00000000-0005-0000-0000-0000FD0D0000}"/>
    <cellStyle name="Moneda 9 3 6" xfId="2767" xr:uid="{00000000-0005-0000-0000-0000FE0D0000}"/>
    <cellStyle name="Moneda 9 3 6 2" xfId="2768" xr:uid="{00000000-0005-0000-0000-0000FF0D0000}"/>
    <cellStyle name="Moneda 9 3 7" xfId="2769" xr:uid="{00000000-0005-0000-0000-0000000E0000}"/>
    <cellStyle name="Moneda 9 4" xfId="2770" xr:uid="{00000000-0005-0000-0000-0000010E0000}"/>
    <cellStyle name="Moneda 9 4 2" xfId="2771" xr:uid="{00000000-0005-0000-0000-0000020E0000}"/>
    <cellStyle name="Moneda 9 4 2 2" xfId="2772" xr:uid="{00000000-0005-0000-0000-0000030E0000}"/>
    <cellStyle name="Moneda 9 4 2 2 2" xfId="2773" xr:uid="{00000000-0005-0000-0000-0000040E0000}"/>
    <cellStyle name="Moneda 9 4 2 2 2 2" xfId="2774" xr:uid="{00000000-0005-0000-0000-0000050E0000}"/>
    <cellStyle name="Moneda 9 4 2 2 3" xfId="2775" xr:uid="{00000000-0005-0000-0000-0000060E0000}"/>
    <cellStyle name="Moneda 9 4 2 2 3 2" xfId="2776" xr:uid="{00000000-0005-0000-0000-0000070E0000}"/>
    <cellStyle name="Moneda 9 4 2 2 4" xfId="2777" xr:uid="{00000000-0005-0000-0000-0000080E0000}"/>
    <cellStyle name="Moneda 9 4 2 2 4 2" xfId="2778" xr:uid="{00000000-0005-0000-0000-0000090E0000}"/>
    <cellStyle name="Moneda 9 4 2 2 5" xfId="2779" xr:uid="{00000000-0005-0000-0000-00000A0E0000}"/>
    <cellStyle name="Moneda 9 4 2 3" xfId="2780" xr:uid="{00000000-0005-0000-0000-00000B0E0000}"/>
    <cellStyle name="Moneda 9 4 2 3 2" xfId="2781" xr:uid="{00000000-0005-0000-0000-00000C0E0000}"/>
    <cellStyle name="Moneda 9 4 2 4" xfId="2782" xr:uid="{00000000-0005-0000-0000-00000D0E0000}"/>
    <cellStyle name="Moneda 9 4 2 4 2" xfId="2783" xr:uid="{00000000-0005-0000-0000-00000E0E0000}"/>
    <cellStyle name="Moneda 9 4 2 5" xfId="2784" xr:uid="{00000000-0005-0000-0000-00000F0E0000}"/>
    <cellStyle name="Moneda 9 4 2 5 2" xfId="2785" xr:uid="{00000000-0005-0000-0000-0000100E0000}"/>
    <cellStyle name="Moneda 9 4 2 6" xfId="2786" xr:uid="{00000000-0005-0000-0000-0000110E0000}"/>
    <cellStyle name="Moneda 9 4 3" xfId="2787" xr:uid="{00000000-0005-0000-0000-0000120E0000}"/>
    <cellStyle name="Moneda 9 4 3 2" xfId="2788" xr:uid="{00000000-0005-0000-0000-0000130E0000}"/>
    <cellStyle name="Moneda 9 4 3 2 2" xfId="2789" xr:uid="{00000000-0005-0000-0000-0000140E0000}"/>
    <cellStyle name="Moneda 9 4 3 3" xfId="2790" xr:uid="{00000000-0005-0000-0000-0000150E0000}"/>
    <cellStyle name="Moneda 9 4 3 3 2" xfId="2791" xr:uid="{00000000-0005-0000-0000-0000160E0000}"/>
    <cellStyle name="Moneda 9 4 3 4" xfId="2792" xr:uid="{00000000-0005-0000-0000-0000170E0000}"/>
    <cellStyle name="Moneda 9 4 3 4 2" xfId="2793" xr:uid="{00000000-0005-0000-0000-0000180E0000}"/>
    <cellStyle name="Moneda 9 4 3 5" xfId="2794" xr:uid="{00000000-0005-0000-0000-0000190E0000}"/>
    <cellStyle name="Moneda 9 4 4" xfId="2795" xr:uid="{00000000-0005-0000-0000-00001A0E0000}"/>
    <cellStyle name="Moneda 9 4 4 2" xfId="2796" xr:uid="{00000000-0005-0000-0000-00001B0E0000}"/>
    <cellStyle name="Moneda 9 4 5" xfId="2797" xr:uid="{00000000-0005-0000-0000-00001C0E0000}"/>
    <cellStyle name="Moneda 9 4 5 2" xfId="2798" xr:uid="{00000000-0005-0000-0000-00001D0E0000}"/>
    <cellStyle name="Moneda 9 4 6" xfId="2799" xr:uid="{00000000-0005-0000-0000-00001E0E0000}"/>
    <cellStyle name="Moneda 9 4 6 2" xfId="2800" xr:uid="{00000000-0005-0000-0000-00001F0E0000}"/>
    <cellStyle name="Moneda 9 4 7" xfId="2801" xr:uid="{00000000-0005-0000-0000-0000200E0000}"/>
    <cellStyle name="Moneda 9 5" xfId="2802" xr:uid="{00000000-0005-0000-0000-0000210E0000}"/>
    <cellStyle name="Moneda 9 5 2" xfId="2803" xr:uid="{00000000-0005-0000-0000-0000220E0000}"/>
    <cellStyle name="Moneda 9 5 2 2" xfId="2804" xr:uid="{00000000-0005-0000-0000-0000230E0000}"/>
    <cellStyle name="Moneda 9 5 2 2 2" xfId="2805" xr:uid="{00000000-0005-0000-0000-0000240E0000}"/>
    <cellStyle name="Moneda 9 5 2 3" xfId="2806" xr:uid="{00000000-0005-0000-0000-0000250E0000}"/>
    <cellStyle name="Moneda 9 5 2 3 2" xfId="2807" xr:uid="{00000000-0005-0000-0000-0000260E0000}"/>
    <cellStyle name="Moneda 9 5 2 4" xfId="2808" xr:uid="{00000000-0005-0000-0000-0000270E0000}"/>
    <cellStyle name="Moneda 9 5 2 4 2" xfId="2809" xr:uid="{00000000-0005-0000-0000-0000280E0000}"/>
    <cellStyle name="Moneda 9 5 2 5" xfId="2810" xr:uid="{00000000-0005-0000-0000-0000290E0000}"/>
    <cellStyle name="Moneda 9 5 3" xfId="2811" xr:uid="{00000000-0005-0000-0000-00002A0E0000}"/>
    <cellStyle name="Moneda 9 5 3 2" xfId="2812" xr:uid="{00000000-0005-0000-0000-00002B0E0000}"/>
    <cellStyle name="Moneda 9 5 4" xfId="2813" xr:uid="{00000000-0005-0000-0000-00002C0E0000}"/>
    <cellStyle name="Moneda 9 5 4 2" xfId="2814" xr:uid="{00000000-0005-0000-0000-00002D0E0000}"/>
    <cellStyle name="Moneda 9 5 5" xfId="2815" xr:uid="{00000000-0005-0000-0000-00002E0E0000}"/>
    <cellStyle name="Moneda 9 5 5 2" xfId="2816" xr:uid="{00000000-0005-0000-0000-00002F0E0000}"/>
    <cellStyle name="Moneda 9 5 6" xfId="2817" xr:uid="{00000000-0005-0000-0000-0000300E0000}"/>
    <cellStyle name="Moneda 9 6" xfId="2818" xr:uid="{00000000-0005-0000-0000-0000310E0000}"/>
    <cellStyle name="Moneda 9 6 2" xfId="2819" xr:uid="{00000000-0005-0000-0000-0000320E0000}"/>
    <cellStyle name="Moneda 9 6 2 2" xfId="2820" xr:uid="{00000000-0005-0000-0000-0000330E0000}"/>
    <cellStyle name="Moneda 9 6 3" xfId="2821" xr:uid="{00000000-0005-0000-0000-0000340E0000}"/>
    <cellStyle name="Moneda 9 6 3 2" xfId="2822" xr:uid="{00000000-0005-0000-0000-0000350E0000}"/>
    <cellStyle name="Moneda 9 6 4" xfId="2823" xr:uid="{00000000-0005-0000-0000-0000360E0000}"/>
    <cellStyle name="Moneda 9 6 4 2" xfId="2824" xr:uid="{00000000-0005-0000-0000-0000370E0000}"/>
    <cellStyle name="Moneda 9 6 5" xfId="2825" xr:uid="{00000000-0005-0000-0000-0000380E0000}"/>
    <cellStyle name="Moneda 9 7" xfId="2826" xr:uid="{00000000-0005-0000-0000-0000390E0000}"/>
    <cellStyle name="Moneda 9 7 2" xfId="2827" xr:uid="{00000000-0005-0000-0000-00003A0E0000}"/>
    <cellStyle name="Moneda 9 8" xfId="2828" xr:uid="{00000000-0005-0000-0000-00003B0E0000}"/>
    <cellStyle name="Moneda 9 8 2" xfId="2829" xr:uid="{00000000-0005-0000-0000-00003C0E0000}"/>
    <cellStyle name="Moneda 9 9" xfId="2830" xr:uid="{00000000-0005-0000-0000-00003D0E0000}"/>
    <cellStyle name="Moneda 9 9 2" xfId="2831" xr:uid="{00000000-0005-0000-0000-00003E0E0000}"/>
    <cellStyle name="Neutral 2" xfId="2832" xr:uid="{00000000-0005-0000-0000-00003F0E0000}"/>
    <cellStyle name="Normal" xfId="0" builtinId="0"/>
    <cellStyle name="Normal 2" xfId="16" xr:uid="{00000000-0005-0000-0000-0000410E0000}"/>
    <cellStyle name="Normal 2 10" xfId="17" xr:uid="{00000000-0005-0000-0000-0000420E0000}"/>
    <cellStyle name="Normal 2 2" xfId="2833" xr:uid="{00000000-0005-0000-0000-0000430E0000}"/>
    <cellStyle name="Normal 2 2 2" xfId="2834" xr:uid="{00000000-0005-0000-0000-0000440E0000}"/>
    <cellStyle name="Normal 2 2_TERRITORIALIZACIÓN" xfId="3333" xr:uid="{00000000-0005-0000-0000-0000450E0000}"/>
    <cellStyle name="Normal 2 3" xfId="2835" xr:uid="{00000000-0005-0000-0000-0000460E0000}"/>
    <cellStyle name="Normal 2 3 2" xfId="2836" xr:uid="{00000000-0005-0000-0000-0000470E0000}"/>
    <cellStyle name="Normal 2 3_TERRITORIALIZACIÓN" xfId="3332" xr:uid="{00000000-0005-0000-0000-0000480E0000}"/>
    <cellStyle name="Normal 2 4" xfId="2837" xr:uid="{00000000-0005-0000-0000-0000490E0000}"/>
    <cellStyle name="Normal 3" xfId="18" xr:uid="{00000000-0005-0000-0000-00004A0E0000}"/>
    <cellStyle name="Normal 3 2" xfId="19" xr:uid="{00000000-0005-0000-0000-00004B0E0000}"/>
    <cellStyle name="Normal 3 2 2" xfId="2838" xr:uid="{00000000-0005-0000-0000-00004C0E0000}"/>
    <cellStyle name="Normal 3 2 2 2" xfId="2839" xr:uid="{00000000-0005-0000-0000-00004D0E0000}"/>
    <cellStyle name="Normal 3 2 2_TERRITORIALIZACIÓN" xfId="3331" xr:uid="{00000000-0005-0000-0000-00004E0E0000}"/>
    <cellStyle name="Normal 3 2 3" xfId="2840" xr:uid="{00000000-0005-0000-0000-00004F0E0000}"/>
    <cellStyle name="Normal 3 3" xfId="2841" xr:uid="{00000000-0005-0000-0000-0000500E0000}"/>
    <cellStyle name="Normal 3 4" xfId="2842" xr:uid="{00000000-0005-0000-0000-0000510E0000}"/>
    <cellStyle name="Normal 3 5" xfId="2843" xr:uid="{00000000-0005-0000-0000-0000520E0000}"/>
    <cellStyle name="Normal 3_CADENA DE VALOR" xfId="27" xr:uid="{00000000-0005-0000-0000-0000530E0000}"/>
    <cellStyle name="Normal 4" xfId="2844" xr:uid="{00000000-0005-0000-0000-0000540E0000}"/>
    <cellStyle name="Normal 4 2" xfId="20" xr:uid="{00000000-0005-0000-0000-0000550E0000}"/>
    <cellStyle name="Normal 4_TERRITORIALIZACIÓN" xfId="3330" xr:uid="{00000000-0005-0000-0000-0000560E0000}"/>
    <cellStyle name="Normal 5" xfId="2845" xr:uid="{00000000-0005-0000-0000-0000570E0000}"/>
    <cellStyle name="Normal 6 2" xfId="2846" xr:uid="{00000000-0005-0000-0000-0000580E0000}"/>
    <cellStyle name="Normal_CADENA DE VALOR" xfId="2866" xr:uid="{00000000-0005-0000-0000-0000590E0000}"/>
    <cellStyle name="Numeric" xfId="2847" xr:uid="{00000000-0005-0000-0000-00005A0E0000}"/>
    <cellStyle name="NumericWithBorder" xfId="2848" xr:uid="{00000000-0005-0000-0000-00005B0E0000}"/>
    <cellStyle name="NumericWithBorder 2" xfId="2849" xr:uid="{00000000-0005-0000-0000-00005C0E0000}"/>
    <cellStyle name="NumericWithBorder 2 2" xfId="2850" xr:uid="{00000000-0005-0000-0000-00005D0E0000}"/>
    <cellStyle name="NumericWithBorder 2 2 2" xfId="3708" xr:uid="{00000000-0005-0000-0000-00005E0E0000}"/>
    <cellStyle name="NumericWithBorder 2 2_TERRITORIALIZACIÓN" xfId="3327" xr:uid="{00000000-0005-0000-0000-00005F0E0000}"/>
    <cellStyle name="NumericWithBorder 2 3" xfId="2851" xr:uid="{00000000-0005-0000-0000-0000600E0000}"/>
    <cellStyle name="NumericWithBorder 2 3 2" xfId="3709" xr:uid="{00000000-0005-0000-0000-0000610E0000}"/>
    <cellStyle name="NumericWithBorder 2 3_TERRITORIALIZACIÓN" xfId="3326" xr:uid="{00000000-0005-0000-0000-0000620E0000}"/>
    <cellStyle name="NumericWithBorder 2 4" xfId="2852" xr:uid="{00000000-0005-0000-0000-0000630E0000}"/>
    <cellStyle name="NumericWithBorder 2 4 2" xfId="3710" xr:uid="{00000000-0005-0000-0000-0000640E0000}"/>
    <cellStyle name="NumericWithBorder 2 4_TERRITORIALIZACIÓN" xfId="3325" xr:uid="{00000000-0005-0000-0000-0000650E0000}"/>
    <cellStyle name="NumericWithBorder 2 5" xfId="3707" xr:uid="{00000000-0005-0000-0000-0000660E0000}"/>
    <cellStyle name="NumericWithBorder 2_TERRITORIALIZACIÓN" xfId="3328" xr:uid="{00000000-0005-0000-0000-0000670E0000}"/>
    <cellStyle name="NumericWithBorder 3" xfId="2853" xr:uid="{00000000-0005-0000-0000-0000680E0000}"/>
    <cellStyle name="NumericWithBorder 3 2" xfId="3711" xr:uid="{00000000-0005-0000-0000-0000690E0000}"/>
    <cellStyle name="NumericWithBorder 3_TERRITORIALIZACIÓN" xfId="3324" xr:uid="{00000000-0005-0000-0000-00006A0E0000}"/>
    <cellStyle name="NumericWithBorder 4" xfId="2854" xr:uid="{00000000-0005-0000-0000-00006B0E0000}"/>
    <cellStyle name="NumericWithBorder 4 2" xfId="3712" xr:uid="{00000000-0005-0000-0000-00006C0E0000}"/>
    <cellStyle name="NumericWithBorder 4_TERRITORIALIZACIÓN" xfId="3323" xr:uid="{00000000-0005-0000-0000-00006D0E0000}"/>
    <cellStyle name="NumericWithBorder 5" xfId="2855" xr:uid="{00000000-0005-0000-0000-00006E0E0000}"/>
    <cellStyle name="NumericWithBorder 5 2" xfId="3713" xr:uid="{00000000-0005-0000-0000-00006F0E0000}"/>
    <cellStyle name="NumericWithBorder 5_TERRITORIALIZACIÓN" xfId="3322" xr:uid="{00000000-0005-0000-0000-0000700E0000}"/>
    <cellStyle name="NumericWithBorder 6" xfId="3706" xr:uid="{00000000-0005-0000-0000-0000710E0000}"/>
    <cellStyle name="NumericWithBorder_TERRITORIALIZACIÓN" xfId="3329" xr:uid="{00000000-0005-0000-0000-0000720E0000}"/>
    <cellStyle name="Percent" xfId="2856" xr:uid="{00000000-0005-0000-0000-0000730E0000}"/>
    <cellStyle name="Percent 2" xfId="2857" xr:uid="{00000000-0005-0000-0000-0000740E0000}"/>
    <cellStyle name="Percent 2 2" xfId="2858" xr:uid="{00000000-0005-0000-0000-0000750E0000}"/>
    <cellStyle name="Porcentaje" xfId="21" builtinId="5"/>
    <cellStyle name="Porcentaje 2" xfId="24" xr:uid="{00000000-0005-0000-0000-0000770E0000}"/>
    <cellStyle name="Porcentaje 2 2" xfId="2859" xr:uid="{00000000-0005-0000-0000-0000780E0000}"/>
    <cellStyle name="Porcentaje 3" xfId="25" xr:uid="{00000000-0005-0000-0000-0000790E0000}"/>
    <cellStyle name="Porcentaje 3 2" xfId="2860" xr:uid="{00000000-0005-0000-0000-00007A0E0000}"/>
    <cellStyle name="Porcentaje 4" xfId="26" xr:uid="{00000000-0005-0000-0000-00007B0E0000}"/>
    <cellStyle name="Porcentual 2" xfId="22" xr:uid="{00000000-0005-0000-0000-00007C0E0000}"/>
    <cellStyle name="Porcentual 2 2" xfId="23" xr:uid="{00000000-0005-0000-0000-00007D0E0000}"/>
    <cellStyle name="Porcentual 2 2 2" xfId="2861" xr:uid="{00000000-0005-0000-0000-00007E0E0000}"/>
    <cellStyle name="Porcentual 2 3" xfId="2862" xr:uid="{00000000-0005-0000-0000-00007F0E0000}"/>
    <cellStyle name="Porcentual 2 3 2" xfId="2863" xr:uid="{00000000-0005-0000-0000-0000800E0000}"/>
    <cellStyle name="Porcentual 3" xfId="2864" xr:uid="{00000000-0005-0000-0000-0000810E0000}"/>
  </cellStyles>
  <dxfs count="0"/>
  <tableStyles count="0" defaultTableStyle="TableStyleMedium9" defaultPivotStyle="PivotStyleLight16"/>
  <colors>
    <mruColors>
      <color rgb="FF00FFFF"/>
      <color rgb="FFFF9999"/>
      <color rgb="FF00CC66"/>
      <color rgb="FF339966"/>
      <color rgb="FF009A46"/>
      <color rgb="FFFFFF99"/>
      <color rgb="FF61BF89"/>
      <color rgb="FFFFCCCC"/>
      <color rgb="FF9BC38B"/>
      <color rgb="FF79FB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260200</xdr:colOff>
      <xdr:row>1</xdr:row>
      <xdr:rowOff>443779</xdr:rowOff>
    </xdr:from>
    <xdr:to>
      <xdr:col>3</xdr:col>
      <xdr:colOff>1074609</xdr:colOff>
      <xdr:row>3</xdr:row>
      <xdr:rowOff>87437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200" y="766660"/>
          <a:ext cx="2848562" cy="757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202848</xdr:colOff>
      <xdr:row>2</xdr:row>
      <xdr:rowOff>93436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148828</xdr:colOff>
      <xdr:row>0</xdr:row>
      <xdr:rowOff>0</xdr:rowOff>
    </xdr:from>
    <xdr:to>
      <xdr:col>2</xdr:col>
      <xdr:colOff>1450901</xdr:colOff>
      <xdr:row>2</xdr:row>
      <xdr:rowOff>181494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48828" y="0"/>
          <a:ext cx="3052015" cy="735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424543</xdr:colOff>
      <xdr:row>0</xdr:row>
      <xdr:rowOff>0</xdr:rowOff>
    </xdr:from>
    <xdr:to>
      <xdr:col>2</xdr:col>
      <xdr:colOff>1641307</xdr:colOff>
      <xdr:row>2</xdr:row>
      <xdr:rowOff>254000</xdr:rowOff>
    </xdr:to>
    <xdr:pic>
      <xdr:nvPicPr>
        <xdr:cNvPr id="2" name="Imagen 1">
          <a:extLst>
            <a:ext uri="{FF2B5EF4-FFF2-40B4-BE49-F238E27FC236}">
              <a16:creationId xmlns:a16="http://schemas.microsoft.com/office/drawing/2014/main" id="{DDC32120-AF84-4106-81F5-03D9E008120B}"/>
            </a:ext>
          </a:extLst>
        </xdr:cNvPr>
        <xdr:cNvPicPr>
          <a:picLocks noChangeAspect="1"/>
        </xdr:cNvPicPr>
      </xdr:nvPicPr>
      <xdr:blipFill>
        <a:blip xmlns:r="http://schemas.openxmlformats.org/officeDocument/2006/relationships" r:embed="rId1"/>
        <a:stretch>
          <a:fillRect/>
        </a:stretch>
      </xdr:blipFill>
      <xdr:spPr>
        <a:xfrm>
          <a:off x="1217023" y="0"/>
          <a:ext cx="3106524" cy="878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2413870</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4048386" cy="84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_Trabajo\3_SDA_Proyectos\Actividades2023\19Agosto2023_1642\7_FormatosTerriFinales_%20Julio\07-PA-7820-JULIO-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820-DICIEMBRE-2023_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CA/2022/PLAN%20DE%20ACCI&#211;N/7820/JUNIO%202022/Plan%20de%20accion%207820_ajustado%20jun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A/2022/PLAN%20DE%20ACCI&#211;N/7820/JULIO%202022/Plan%20de%20accion%207820_ajustado%20julio%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CALCULO ACTIVIDADES"/>
    </sheetNames>
    <sheetDataSet>
      <sheetData sheetId="0" refreshError="1"/>
      <sheetData sheetId="1">
        <row r="10">
          <cell r="DL10">
            <v>7217</v>
          </cell>
          <cell r="DM10">
            <v>4213</v>
          </cell>
        </row>
        <row r="11">
          <cell r="DL11">
            <v>3660055000</v>
          </cell>
          <cell r="DM11">
            <v>3586616500</v>
          </cell>
        </row>
        <row r="13">
          <cell r="DJ13">
            <v>571</v>
          </cell>
          <cell r="DM13">
            <v>571</v>
          </cell>
        </row>
        <row r="14">
          <cell r="DL14">
            <v>323844291</v>
          </cell>
          <cell r="DM14">
            <v>265772858</v>
          </cell>
        </row>
        <row r="15">
          <cell r="DL15">
            <v>7788</v>
          </cell>
          <cell r="DM15">
            <v>4784</v>
          </cell>
        </row>
        <row r="16">
          <cell r="DL16">
            <v>3983899291</v>
          </cell>
          <cell r="DM16">
            <v>3852389358</v>
          </cell>
        </row>
        <row r="17">
          <cell r="DL17">
            <v>36</v>
          </cell>
          <cell r="DM17">
            <v>17.400000000000002</v>
          </cell>
        </row>
        <row r="18">
          <cell r="DL18">
            <v>194718000</v>
          </cell>
          <cell r="DM18">
            <v>176268000</v>
          </cell>
        </row>
        <row r="20">
          <cell r="DL20">
            <v>0</v>
          </cell>
          <cell r="DM20">
            <v>0</v>
          </cell>
        </row>
        <row r="21">
          <cell r="DL21">
            <v>2282500</v>
          </cell>
          <cell r="DM21">
            <v>1963300</v>
          </cell>
        </row>
        <row r="22">
          <cell r="DL22">
            <v>36</v>
          </cell>
          <cell r="DM22">
            <v>17.400000000000002</v>
          </cell>
        </row>
        <row r="23">
          <cell r="DL23">
            <v>197000500</v>
          </cell>
          <cell r="DM23">
            <v>178231300</v>
          </cell>
        </row>
        <row r="24">
          <cell r="DL24">
            <v>27</v>
          </cell>
          <cell r="DM24">
            <v>19.599999999999998</v>
          </cell>
        </row>
        <row r="25">
          <cell r="DK25">
            <v>530281000</v>
          </cell>
          <cell r="DL25">
            <v>551323000</v>
          </cell>
        </row>
        <row r="27">
          <cell r="DK27">
            <v>0</v>
          </cell>
          <cell r="DL27">
            <v>0</v>
          </cell>
        </row>
        <row r="28">
          <cell r="DK28">
            <v>37170366</v>
          </cell>
          <cell r="DL28">
            <v>37170366</v>
          </cell>
        </row>
        <row r="29">
          <cell r="DK29">
            <v>19.599999999999998</v>
          </cell>
          <cell r="DL29">
            <v>27</v>
          </cell>
        </row>
        <row r="30">
          <cell r="DK30">
            <v>567451366</v>
          </cell>
          <cell r="DL30">
            <v>588493366</v>
          </cell>
        </row>
      </sheetData>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CALCULO ACTIVIDADES"/>
    </sheetNames>
    <sheetDataSet>
      <sheetData sheetId="0" refreshError="1"/>
      <sheetData sheetId="1">
        <row r="10">
          <cell r="DI10">
            <v>7217</v>
          </cell>
          <cell r="DK10">
            <v>7052</v>
          </cell>
          <cell r="EW10" t="str">
            <v>Durante el período comprendido del 01 de enero al 31 de Diciembre del 2023, se avanzó en un 97,7% de lo programado en la vigencia, lo que representa el diagnóstico, clasificación e intervención jurídica de 7.052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1.397  trámites administrativos ambientales, los cuales están representados en 1.266 actuaciones de impulso y 131 actuaciones de fondo, originadas de los procesos de evaluación control y seguimiento.</v>
          </cell>
        </row>
        <row r="11">
          <cell r="DI11">
            <v>3784235855</v>
          </cell>
          <cell r="DK11">
            <v>3784066500</v>
          </cell>
        </row>
        <row r="13">
          <cell r="DI13">
            <v>571</v>
          </cell>
          <cell r="DK13">
            <v>571</v>
          </cell>
        </row>
        <row r="14">
          <cell r="DI14">
            <v>323844291</v>
          </cell>
          <cell r="DK14">
            <v>272283858</v>
          </cell>
        </row>
        <row r="17">
          <cell r="DI17">
            <v>36</v>
          </cell>
          <cell r="DK17">
            <v>36</v>
          </cell>
        </row>
        <row r="18">
          <cell r="DI18">
            <v>185106165</v>
          </cell>
          <cell r="DK18">
            <v>185106165</v>
          </cell>
        </row>
        <row r="20">
          <cell r="DI20">
            <v>0</v>
          </cell>
          <cell r="DK20">
            <v>0</v>
          </cell>
        </row>
        <row r="21">
          <cell r="DI21">
            <v>2282500</v>
          </cell>
          <cell r="DK21">
            <v>1963300</v>
          </cell>
        </row>
        <row r="24">
          <cell r="DI24">
            <v>27</v>
          </cell>
          <cell r="DK24">
            <v>27</v>
          </cell>
        </row>
        <row r="25">
          <cell r="DI25">
            <v>607396700</v>
          </cell>
          <cell r="DK25">
            <v>607396700</v>
          </cell>
        </row>
        <row r="27">
          <cell r="DI27">
            <v>0</v>
          </cell>
          <cell r="DK27">
            <v>0</v>
          </cell>
        </row>
        <row r="28">
          <cell r="DI28">
            <v>37170366</v>
          </cell>
          <cell r="DK28">
            <v>37170366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sheetData sheetId="2">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row>
        <row r="12">
          <cell r="CI12">
            <v>28673467</v>
          </cell>
        </row>
        <row r="13">
          <cell r="CH13">
            <v>22</v>
          </cell>
          <cell r="CI13">
            <v>8</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row>
        <row r="19">
          <cell r="CI19">
            <v>1624800</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row>
        <row r="26">
          <cell r="CI26">
            <v>21140800</v>
          </cell>
        </row>
        <row r="31">
          <cell r="BF31">
            <v>4405188000</v>
          </cell>
          <cell r="CE31">
            <v>4405188000</v>
          </cell>
          <cell r="CG31">
            <v>3733369000</v>
          </cell>
        </row>
      </sheetData>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row>
        <row r="12">
          <cell r="CI12">
            <v>289292000</v>
          </cell>
        </row>
        <row r="13">
          <cell r="CH13">
            <v>22</v>
          </cell>
          <cell r="CI13">
            <v>8</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row>
        <row r="19">
          <cell r="CI19">
            <v>21536900</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row>
        <row r="26">
          <cell r="CI26">
            <v>108731200</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0">
          <cell r="BF10">
            <v>7017</v>
          </cell>
          <cell r="CI10">
            <v>2304</v>
          </cell>
          <cell r="EW10" t="str">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ell>
        </row>
        <row r="12">
          <cell r="CI12">
            <v>1047252900</v>
          </cell>
        </row>
        <row r="13">
          <cell r="CH13">
            <v>22</v>
          </cell>
          <cell r="CI13">
            <v>10</v>
          </cell>
        </row>
        <row r="17">
          <cell r="CH17">
            <v>31.000000000000004</v>
          </cell>
          <cell r="CI17">
            <v>9.86</v>
          </cell>
          <cell r="EW17" t="str">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ell>
        </row>
        <row r="19">
          <cell r="CI19">
            <v>96937100</v>
          </cell>
        </row>
        <row r="24">
          <cell r="CH24">
            <v>31.000000000000004</v>
          </cell>
          <cell r="CI24">
            <v>15.5</v>
          </cell>
          <cell r="EW24" t="str">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ell>
        </row>
        <row r="26">
          <cell r="CI26">
            <v>367577200</v>
          </cell>
        </row>
        <row r="31">
          <cell r="BF31">
            <v>4405188000</v>
          </cell>
          <cell r="CI31">
            <v>3733369000</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2">
          <cell r="CI12">
            <v>1305708067</v>
          </cell>
        </row>
        <row r="19">
          <cell r="CI19">
            <v>120364100</v>
          </cell>
        </row>
        <row r="26">
          <cell r="CI26">
            <v>453859200</v>
          </cell>
        </row>
        <row r="31">
          <cell r="BF31">
            <v>4405188000</v>
          </cell>
          <cell r="CI31">
            <v>3784149000</v>
          </cell>
        </row>
      </sheetData>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8"/>
  <sheetViews>
    <sheetView tabSelected="1" zoomScale="64" zoomScaleNormal="64" zoomScaleSheetLayoutView="70" zoomScalePageLayoutView="60" workbookViewId="0">
      <selection activeCell="AC13" sqref="AC13"/>
    </sheetView>
  </sheetViews>
  <sheetFormatPr baseColWidth="10" defaultColWidth="10.85546875" defaultRowHeight="25.7" customHeight="1" x14ac:dyDescent="0.25"/>
  <cols>
    <col min="1" max="3" width="10.140625" customWidth="1"/>
    <col min="4" max="4" width="23.85546875" customWidth="1"/>
    <col min="5" max="5" width="7.42578125" customWidth="1"/>
    <col min="6" max="6" width="11.42578125" customWidth="1"/>
    <col min="7" max="7" width="12.140625" customWidth="1"/>
    <col min="8" max="8" width="11.42578125" customWidth="1"/>
    <col min="9" max="9" width="16.140625" style="7" customWidth="1"/>
    <col min="10" max="10" width="19.85546875" style="7" hidden="1" customWidth="1"/>
    <col min="11" max="24" width="10.85546875" style="7" hidden="1" customWidth="1"/>
    <col min="25" max="25" width="17.85546875" style="7" hidden="1" customWidth="1"/>
    <col min="26" max="26" width="16.5703125" style="7" hidden="1" customWidth="1"/>
    <col min="27" max="27" width="17.140625" style="7" hidden="1" customWidth="1"/>
    <col min="28" max="29" width="19" style="7" customWidth="1"/>
    <col min="30" max="30" width="15.85546875" style="7" hidden="1" customWidth="1"/>
    <col min="31" max="54" width="10.85546875" style="7" hidden="1" customWidth="1"/>
    <col min="55" max="55" width="16" style="7" hidden="1" customWidth="1"/>
    <col min="56" max="56" width="14.42578125" style="7" hidden="1" customWidth="1"/>
    <col min="57" max="57" width="15" style="7" hidden="1" customWidth="1"/>
    <col min="58" max="59" width="18.85546875" style="7" customWidth="1"/>
    <col min="60" max="60" width="17.28515625" style="7" hidden="1" customWidth="1"/>
    <col min="61" max="75" width="10.85546875" style="7" hidden="1" customWidth="1"/>
    <col min="76" max="76" width="10.5703125" style="7" hidden="1" customWidth="1"/>
    <col min="77" max="77" width="10.140625" style="7" hidden="1" customWidth="1"/>
    <col min="78" max="78" width="10.5703125" style="7" hidden="1" customWidth="1"/>
    <col min="79" max="79" width="10.140625" style="7" hidden="1" customWidth="1"/>
    <col min="80" max="80" width="10.5703125" style="7" hidden="1" customWidth="1"/>
    <col min="81" max="81" width="10.140625" style="7" hidden="1" customWidth="1"/>
    <col min="82" max="82" width="11.140625" style="7" hidden="1" customWidth="1"/>
    <col min="83" max="83" width="20.42578125" style="7" hidden="1" customWidth="1"/>
    <col min="84" max="84" width="18.42578125" style="7" hidden="1" customWidth="1"/>
    <col min="85" max="85" width="18" style="7" hidden="1" customWidth="1"/>
    <col min="86" max="86" width="22.140625" style="7" hidden="1" customWidth="1"/>
    <col min="87" max="87" width="20" style="7" hidden="1" customWidth="1"/>
    <col min="88" max="89" width="20.85546875" style="7" customWidth="1"/>
    <col min="90" max="90" width="17.140625" style="7" customWidth="1"/>
    <col min="91" max="106" width="14.42578125" style="7" customWidth="1"/>
    <col min="107" max="108" width="13.7109375" style="7" customWidth="1"/>
    <col min="109" max="114" width="16.85546875" style="7" customWidth="1"/>
    <col min="115" max="115" width="18" style="7" customWidth="1"/>
    <col min="116" max="116" width="22.140625" style="7" customWidth="1"/>
    <col min="117" max="117" width="19.42578125" style="7" customWidth="1"/>
    <col min="118" max="118" width="22.140625" style="7" customWidth="1"/>
    <col min="119" max="119" width="18.85546875" style="7" customWidth="1"/>
    <col min="120" max="120" width="22.140625" style="7" customWidth="1"/>
    <col min="121" max="121" width="10.140625" style="7" hidden="1" customWidth="1"/>
    <col min="122" max="122" width="10.5703125" style="7" hidden="1" customWidth="1"/>
    <col min="123" max="123" width="10.140625" style="7" hidden="1" customWidth="1"/>
    <col min="124" max="124" width="10.5703125" style="7" hidden="1" customWidth="1"/>
    <col min="125" max="125" width="10.140625" style="7" hidden="1" customWidth="1"/>
    <col min="126" max="126" width="10.5703125" style="7" hidden="1" customWidth="1"/>
    <col min="127" max="127" width="10.140625" style="7" hidden="1" customWidth="1"/>
    <col min="128" max="128" width="10.5703125" style="7" hidden="1" customWidth="1"/>
    <col min="129" max="129" width="10.140625" style="7" hidden="1" customWidth="1"/>
    <col min="130" max="130" width="14.42578125" style="7" hidden="1" customWidth="1"/>
    <col min="131" max="131" width="14.85546875" style="7" hidden="1" customWidth="1"/>
    <col min="132" max="132" width="14.140625" style="7" hidden="1" customWidth="1"/>
    <col min="133" max="133" width="14.85546875" style="7" hidden="1" customWidth="1"/>
    <col min="134" max="134" width="14.140625" style="7" hidden="1" customWidth="1"/>
    <col min="135" max="137" width="14.85546875" style="7" hidden="1" customWidth="1"/>
    <col min="138" max="138" width="14.140625" style="7" hidden="1" customWidth="1"/>
    <col min="139" max="139" width="14.85546875" style="7" hidden="1" customWidth="1"/>
    <col min="140" max="140" width="14.140625" style="7" hidden="1" customWidth="1"/>
    <col min="141" max="141" width="14.85546875" style="7" hidden="1" customWidth="1"/>
    <col min="142" max="142" width="14.140625" style="7" hidden="1" customWidth="1"/>
    <col min="143" max="143" width="14.85546875" style="7" hidden="1" customWidth="1"/>
    <col min="144" max="144" width="14.140625" style="7" hidden="1" customWidth="1"/>
    <col min="145" max="145" width="18" style="7" hidden="1" customWidth="1"/>
    <col min="146" max="146" width="22.140625" style="7" hidden="1" customWidth="1"/>
    <col min="147" max="147" width="19.42578125" style="7" hidden="1" customWidth="1"/>
    <col min="148" max="148" width="22.140625" style="7" hidden="1" customWidth="1"/>
    <col min="149" max="149" width="18.7109375" style="7" hidden="1" customWidth="1"/>
    <col min="150" max="150" width="18.85546875" customWidth="1"/>
    <col min="151" max="151" width="20.85546875" customWidth="1"/>
    <col min="152" max="152" width="24.140625" customWidth="1"/>
    <col min="153" max="153" width="21.42578125" customWidth="1"/>
    <col min="154" max="154" width="18.42578125" customWidth="1"/>
    <col min="155" max="155" width="91.42578125" customWidth="1"/>
    <col min="156" max="157" width="24.42578125" customWidth="1"/>
    <col min="158" max="158" width="51.140625" customWidth="1"/>
    <col min="159" max="159" width="47.7109375" customWidth="1"/>
  </cols>
  <sheetData>
    <row r="1" spans="1:160" ht="25.7" customHeight="1" thickBot="1" x14ac:dyDescent="0.3">
      <c r="C1" s="2"/>
      <c r="D1" s="2"/>
      <c r="E1" s="2"/>
      <c r="F1" s="2"/>
      <c r="G1" s="2"/>
      <c r="H1" s="2"/>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2"/>
      <c r="EU1" s="2"/>
      <c r="EV1" s="2"/>
      <c r="EW1" s="2"/>
      <c r="EX1" s="2"/>
      <c r="EY1" s="2"/>
      <c r="EZ1" s="2"/>
      <c r="FA1" s="2"/>
      <c r="FB1" s="2"/>
      <c r="FC1" s="2"/>
    </row>
    <row r="2" spans="1:160" s="10" customFormat="1" ht="45.75" customHeight="1" thickBot="1" x14ac:dyDescent="0.55000000000000004">
      <c r="A2" s="684"/>
      <c r="B2" s="685"/>
      <c r="C2" s="685"/>
      <c r="D2" s="685"/>
      <c r="E2" s="685"/>
      <c r="F2" s="686"/>
      <c r="G2" s="693" t="s">
        <v>38</v>
      </c>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693"/>
      <c r="BA2" s="693"/>
      <c r="BB2" s="693"/>
      <c r="BC2" s="693"/>
      <c r="BD2" s="693"/>
      <c r="BE2" s="693"/>
      <c r="BF2" s="693"/>
      <c r="BG2" s="693"/>
      <c r="BH2" s="693"/>
      <c r="BI2" s="693"/>
      <c r="BJ2" s="693"/>
      <c r="BK2" s="693"/>
      <c r="BL2" s="693"/>
      <c r="BM2" s="693"/>
      <c r="BN2" s="693"/>
      <c r="BO2" s="693"/>
      <c r="BP2" s="693"/>
      <c r="BQ2" s="693"/>
      <c r="BR2" s="693"/>
      <c r="BS2" s="693"/>
      <c r="BT2" s="693"/>
      <c r="BU2" s="693"/>
      <c r="BV2" s="693"/>
      <c r="BW2" s="693"/>
      <c r="BX2" s="693"/>
      <c r="BY2" s="693"/>
      <c r="BZ2" s="693"/>
      <c r="CA2" s="693"/>
      <c r="CB2" s="693"/>
      <c r="CC2" s="693"/>
      <c r="CD2" s="693"/>
      <c r="CE2" s="693"/>
      <c r="CF2" s="693"/>
      <c r="CG2" s="693"/>
      <c r="CH2" s="693"/>
      <c r="CI2" s="693"/>
      <c r="CJ2" s="693"/>
      <c r="CK2" s="693"/>
      <c r="CL2" s="693"/>
      <c r="CM2" s="693"/>
      <c r="CN2" s="693"/>
      <c r="CO2" s="693"/>
      <c r="CP2" s="693"/>
      <c r="CQ2" s="693"/>
      <c r="CR2" s="693"/>
      <c r="CS2" s="693"/>
      <c r="CT2" s="693"/>
      <c r="CU2" s="693"/>
      <c r="CV2" s="693"/>
      <c r="CW2" s="693"/>
      <c r="CX2" s="693"/>
      <c r="CY2" s="693"/>
      <c r="CZ2" s="693"/>
      <c r="DA2" s="693"/>
      <c r="DB2" s="693"/>
      <c r="DC2" s="693"/>
      <c r="DD2" s="693"/>
      <c r="DE2" s="693"/>
      <c r="DF2" s="693"/>
      <c r="DG2" s="693"/>
      <c r="DH2" s="693"/>
      <c r="DI2" s="693"/>
      <c r="DJ2" s="693"/>
      <c r="DK2" s="693"/>
      <c r="DL2" s="693"/>
      <c r="DM2" s="693"/>
      <c r="DN2" s="693"/>
      <c r="DO2" s="693"/>
      <c r="DP2" s="693"/>
      <c r="DQ2" s="693"/>
      <c r="DR2" s="693"/>
      <c r="DS2" s="693"/>
      <c r="DT2" s="693"/>
      <c r="DU2" s="693"/>
      <c r="DV2" s="693"/>
      <c r="DW2" s="693"/>
      <c r="DX2" s="693"/>
      <c r="DY2" s="693"/>
      <c r="DZ2" s="693"/>
      <c r="EA2" s="693"/>
      <c r="EB2" s="693"/>
      <c r="EC2" s="693"/>
      <c r="ED2" s="693"/>
      <c r="EE2" s="693"/>
      <c r="EF2" s="693"/>
      <c r="EG2" s="693"/>
      <c r="EH2" s="693"/>
      <c r="EI2" s="693"/>
      <c r="EJ2" s="693"/>
      <c r="EK2" s="693"/>
      <c r="EL2" s="693"/>
      <c r="EM2" s="693"/>
      <c r="EN2" s="693"/>
      <c r="EO2" s="693"/>
      <c r="EP2" s="693"/>
      <c r="EQ2" s="693"/>
      <c r="ER2" s="693"/>
      <c r="ES2" s="693"/>
      <c r="ET2" s="693"/>
      <c r="EU2" s="693"/>
      <c r="EV2" s="693"/>
      <c r="EW2" s="693"/>
      <c r="EX2" s="693"/>
      <c r="EY2" s="693"/>
      <c r="EZ2" s="693"/>
      <c r="FA2" s="693"/>
      <c r="FB2" s="693"/>
      <c r="FC2" s="694"/>
    </row>
    <row r="3" spans="1:160" s="10" customFormat="1" ht="42" customHeight="1" thickBot="1" x14ac:dyDescent="0.65">
      <c r="A3" s="687"/>
      <c r="B3" s="688"/>
      <c r="C3" s="688"/>
      <c r="D3" s="688"/>
      <c r="E3" s="688"/>
      <c r="F3" s="689"/>
      <c r="G3" s="695" t="s">
        <v>254</v>
      </c>
      <c r="H3" s="696"/>
      <c r="I3" s="696"/>
      <c r="J3" s="696"/>
      <c r="K3" s="696"/>
      <c r="L3" s="696"/>
      <c r="M3" s="696"/>
      <c r="N3" s="696"/>
      <c r="O3" s="696"/>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696"/>
      <c r="BD3" s="696"/>
      <c r="BE3" s="696"/>
      <c r="BF3" s="696"/>
      <c r="BG3" s="696"/>
      <c r="BH3" s="696"/>
      <c r="BI3" s="696"/>
      <c r="BJ3" s="696"/>
      <c r="BK3" s="696"/>
      <c r="BL3" s="696"/>
      <c r="BM3" s="696"/>
      <c r="BN3" s="696"/>
      <c r="BO3" s="696"/>
      <c r="BP3" s="696"/>
      <c r="BQ3" s="696"/>
      <c r="BR3" s="696"/>
      <c r="BS3" s="696"/>
      <c r="BT3" s="696"/>
      <c r="BU3" s="696"/>
      <c r="BV3" s="696"/>
      <c r="BW3" s="696"/>
      <c r="BX3" s="696"/>
      <c r="BY3" s="696"/>
      <c r="BZ3" s="696"/>
      <c r="CA3" s="696"/>
      <c r="CB3" s="696"/>
      <c r="CC3" s="696"/>
      <c r="CD3" s="696"/>
      <c r="CE3" s="696"/>
      <c r="CF3" s="696"/>
      <c r="CG3" s="696"/>
      <c r="CH3" s="696"/>
      <c r="CI3" s="696"/>
      <c r="CJ3" s="696"/>
      <c r="CK3" s="696"/>
      <c r="CL3" s="696"/>
      <c r="CM3" s="696"/>
      <c r="CN3" s="696"/>
      <c r="CO3" s="696"/>
      <c r="CP3" s="696"/>
      <c r="CQ3" s="696"/>
      <c r="CR3" s="696"/>
      <c r="CS3" s="696"/>
      <c r="CT3" s="696"/>
      <c r="CU3" s="696"/>
      <c r="CV3" s="696"/>
      <c r="CW3" s="696"/>
      <c r="CX3" s="696"/>
      <c r="CY3" s="696"/>
      <c r="CZ3" s="696"/>
      <c r="DA3" s="696"/>
      <c r="DB3" s="696"/>
      <c r="DC3" s="696"/>
      <c r="DD3" s="696"/>
      <c r="DE3" s="696"/>
      <c r="DF3" s="696"/>
      <c r="DG3" s="696"/>
      <c r="DH3" s="696"/>
      <c r="DI3" s="696"/>
      <c r="DJ3" s="696"/>
      <c r="DK3" s="696"/>
      <c r="DL3" s="696"/>
      <c r="DM3" s="696"/>
      <c r="DN3" s="696"/>
      <c r="DO3" s="696"/>
      <c r="DP3" s="696"/>
      <c r="DQ3" s="696"/>
      <c r="DR3" s="696"/>
      <c r="DS3" s="696"/>
      <c r="DT3" s="696"/>
      <c r="DU3" s="696"/>
      <c r="DV3" s="696"/>
      <c r="DW3" s="696"/>
      <c r="DX3" s="696"/>
      <c r="DY3" s="696"/>
      <c r="DZ3" s="696"/>
      <c r="EA3" s="696"/>
      <c r="EB3" s="696"/>
      <c r="EC3" s="696"/>
      <c r="ED3" s="696"/>
      <c r="EE3" s="696"/>
      <c r="EF3" s="696"/>
      <c r="EG3" s="696"/>
      <c r="EH3" s="696"/>
      <c r="EI3" s="696"/>
      <c r="EJ3" s="696"/>
      <c r="EK3" s="696"/>
      <c r="EL3" s="696"/>
      <c r="EM3" s="696"/>
      <c r="EN3" s="696"/>
      <c r="EO3" s="696"/>
      <c r="EP3" s="696"/>
      <c r="EQ3" s="696"/>
      <c r="ER3" s="696"/>
      <c r="ES3" s="696"/>
      <c r="ET3" s="696"/>
      <c r="EU3" s="696"/>
      <c r="EV3" s="696"/>
      <c r="EW3" s="696"/>
      <c r="EX3" s="696"/>
      <c r="EY3" s="696"/>
      <c r="EZ3" s="696"/>
      <c r="FA3" s="696"/>
      <c r="FB3" s="696"/>
      <c r="FC3" s="697"/>
    </row>
    <row r="4" spans="1:160" s="9" customFormat="1" ht="25.7" customHeight="1" thickBot="1" x14ac:dyDescent="0.45">
      <c r="A4" s="690"/>
      <c r="B4" s="691"/>
      <c r="C4" s="691"/>
      <c r="D4" s="691"/>
      <c r="E4" s="691"/>
      <c r="F4" s="692"/>
      <c r="G4" s="698" t="s">
        <v>47</v>
      </c>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698"/>
      <c r="AV4" s="698"/>
      <c r="AW4" s="698"/>
      <c r="AX4" s="698"/>
      <c r="AY4" s="698"/>
      <c r="AZ4" s="698"/>
      <c r="BA4" s="698"/>
      <c r="BB4" s="698"/>
      <c r="BC4" s="698"/>
      <c r="BD4" s="698"/>
      <c r="BE4" s="698"/>
      <c r="BF4" s="698"/>
      <c r="BG4" s="698"/>
      <c r="BH4" s="698"/>
      <c r="BI4" s="698"/>
      <c r="BJ4" s="698"/>
      <c r="BK4" s="698"/>
      <c r="BL4" s="698"/>
      <c r="BM4" s="698"/>
      <c r="BN4" s="698"/>
      <c r="BO4" s="698"/>
      <c r="BP4" s="698"/>
      <c r="BQ4" s="698"/>
      <c r="BR4" s="698"/>
      <c r="BS4" s="698"/>
      <c r="BT4" s="698"/>
      <c r="BU4" s="698"/>
      <c r="BV4" s="698"/>
      <c r="BW4" s="698"/>
      <c r="BX4" s="698"/>
      <c r="BY4" s="698"/>
      <c r="BZ4" s="698"/>
      <c r="CA4" s="698"/>
      <c r="CB4" s="698"/>
      <c r="CC4" s="698"/>
      <c r="CD4" s="698"/>
      <c r="CE4" s="698"/>
      <c r="CF4" s="698"/>
      <c r="CG4" s="698"/>
      <c r="CH4" s="698"/>
      <c r="CI4" s="698"/>
      <c r="CJ4" s="698"/>
      <c r="CK4" s="698"/>
      <c r="CL4" s="698"/>
      <c r="CM4" s="698"/>
      <c r="CN4" s="698"/>
      <c r="CO4" s="698"/>
      <c r="CP4" s="698"/>
      <c r="CQ4" s="698"/>
      <c r="CR4" s="698"/>
      <c r="CS4" s="698"/>
      <c r="CT4" s="698"/>
      <c r="CU4" s="698"/>
      <c r="CV4" s="698"/>
      <c r="CW4" s="698"/>
      <c r="CX4" s="698"/>
      <c r="CY4" s="698"/>
      <c r="CZ4" s="698"/>
      <c r="DA4" s="698"/>
      <c r="DB4" s="698"/>
      <c r="DC4" s="698"/>
      <c r="DD4" s="698"/>
      <c r="DE4" s="698"/>
      <c r="DF4" s="698"/>
      <c r="DG4" s="698"/>
      <c r="DH4" s="698"/>
      <c r="DI4" s="698"/>
      <c r="DJ4" s="698"/>
      <c r="DK4" s="698"/>
      <c r="DL4" s="698"/>
      <c r="DM4" s="698"/>
      <c r="DN4" s="698"/>
      <c r="DO4" s="698"/>
      <c r="DP4" s="698"/>
      <c r="DQ4" s="698"/>
      <c r="DR4" s="698"/>
      <c r="DS4" s="698"/>
      <c r="DT4" s="698"/>
      <c r="DU4" s="698"/>
      <c r="DV4" s="698"/>
      <c r="DW4" s="698"/>
      <c r="DX4" s="698"/>
      <c r="DY4" s="698"/>
      <c r="DZ4" s="698"/>
      <c r="EA4" s="698"/>
      <c r="EB4" s="698"/>
      <c r="EC4" s="698"/>
      <c r="ED4" s="698"/>
      <c r="EE4" s="698"/>
      <c r="EF4" s="698"/>
      <c r="EG4" s="698"/>
      <c r="EH4" s="698"/>
      <c r="EI4" s="698"/>
      <c r="EJ4" s="698"/>
      <c r="EK4" s="698"/>
      <c r="EL4" s="698"/>
      <c r="EM4" s="698"/>
      <c r="EN4" s="698"/>
      <c r="EO4" s="698"/>
      <c r="EP4" s="698"/>
      <c r="EQ4" s="698"/>
      <c r="ER4" s="698"/>
      <c r="ES4" s="698"/>
      <c r="ET4" s="699" t="s">
        <v>237</v>
      </c>
      <c r="EU4" s="700"/>
      <c r="EV4" s="700"/>
      <c r="EW4" s="700"/>
      <c r="EX4" s="700"/>
      <c r="EY4" s="700"/>
      <c r="EZ4" s="700"/>
      <c r="FA4" s="700"/>
      <c r="FB4" s="700"/>
      <c r="FC4" s="701"/>
    </row>
    <row r="5" spans="1:160" ht="25.7" customHeight="1" thickBot="1" x14ac:dyDescent="0.3">
      <c r="A5" s="708" t="s">
        <v>0</v>
      </c>
      <c r="B5" s="709"/>
      <c r="C5" s="709"/>
      <c r="D5" s="709"/>
      <c r="E5" s="709"/>
      <c r="F5" s="709"/>
      <c r="G5" s="675" t="s">
        <v>294</v>
      </c>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c r="AM5" s="676"/>
      <c r="AN5" s="676"/>
      <c r="AO5" s="676"/>
      <c r="AP5" s="676"/>
      <c r="AQ5" s="676"/>
      <c r="AR5" s="676"/>
      <c r="AS5" s="676"/>
      <c r="AT5" s="676"/>
      <c r="AU5" s="676"/>
      <c r="AV5" s="676"/>
      <c r="AW5" s="676"/>
      <c r="AX5" s="676"/>
      <c r="AY5" s="676"/>
      <c r="AZ5" s="676"/>
      <c r="BA5" s="676"/>
      <c r="BB5" s="676"/>
      <c r="BC5" s="676"/>
      <c r="BD5" s="676"/>
      <c r="BE5" s="676"/>
      <c r="BF5" s="676"/>
      <c r="BG5" s="676"/>
      <c r="BH5" s="676"/>
      <c r="BI5" s="676"/>
      <c r="BJ5" s="676"/>
      <c r="BK5" s="676"/>
      <c r="BL5" s="676"/>
      <c r="BM5" s="676"/>
      <c r="BN5" s="676"/>
      <c r="BO5" s="676"/>
      <c r="BP5" s="676"/>
      <c r="BQ5" s="676"/>
      <c r="BR5" s="676"/>
      <c r="BS5" s="676"/>
      <c r="BT5" s="676"/>
      <c r="BU5" s="676"/>
      <c r="BV5" s="676"/>
      <c r="BW5" s="676"/>
      <c r="BX5" s="676"/>
      <c r="BY5" s="676"/>
      <c r="BZ5" s="676"/>
      <c r="CA5" s="676"/>
      <c r="CB5" s="676"/>
      <c r="CC5" s="676"/>
      <c r="CD5" s="676"/>
      <c r="CE5" s="676"/>
      <c r="CF5" s="676"/>
      <c r="CG5" s="676"/>
      <c r="CH5" s="676"/>
      <c r="CI5" s="676"/>
      <c r="CJ5" s="676"/>
      <c r="CK5" s="676"/>
      <c r="CL5" s="676"/>
      <c r="CM5" s="676"/>
      <c r="CN5" s="676"/>
      <c r="CO5" s="676"/>
      <c r="CP5" s="676"/>
      <c r="CQ5" s="676"/>
      <c r="CR5" s="676"/>
      <c r="CS5" s="676"/>
      <c r="CT5" s="676"/>
      <c r="CU5" s="676"/>
      <c r="CV5" s="676"/>
      <c r="CW5" s="676"/>
      <c r="CX5" s="676"/>
      <c r="CY5" s="676"/>
      <c r="CZ5" s="676"/>
      <c r="DA5" s="676"/>
      <c r="DB5" s="676"/>
      <c r="DC5" s="676"/>
      <c r="DD5" s="676"/>
      <c r="DE5" s="676"/>
      <c r="DF5" s="676"/>
      <c r="DG5" s="676"/>
      <c r="DH5" s="676"/>
      <c r="DI5" s="676"/>
      <c r="DJ5" s="676"/>
      <c r="DK5" s="676"/>
      <c r="DL5" s="676"/>
      <c r="DM5" s="676"/>
      <c r="DN5" s="676"/>
      <c r="DO5" s="676"/>
      <c r="DP5" s="676"/>
      <c r="DQ5" s="676"/>
      <c r="DR5" s="676"/>
      <c r="DS5" s="676"/>
      <c r="DT5" s="676"/>
      <c r="DU5" s="676"/>
      <c r="DV5" s="676"/>
      <c r="DW5" s="676"/>
      <c r="DX5" s="676"/>
      <c r="DY5" s="676"/>
      <c r="DZ5" s="676"/>
      <c r="EA5" s="676"/>
      <c r="EB5" s="676"/>
      <c r="EC5" s="676"/>
      <c r="ED5" s="676"/>
      <c r="EE5" s="676"/>
      <c r="EF5" s="676"/>
      <c r="EG5" s="676"/>
      <c r="EH5" s="676"/>
      <c r="EI5" s="676"/>
      <c r="EJ5" s="676"/>
      <c r="EK5" s="676"/>
      <c r="EL5" s="676"/>
      <c r="EM5" s="676"/>
      <c r="EN5" s="676"/>
      <c r="EO5" s="676"/>
      <c r="EP5" s="676"/>
      <c r="EQ5" s="676"/>
      <c r="ER5" s="676"/>
      <c r="ES5" s="676"/>
      <c r="ET5" s="676"/>
      <c r="EU5" s="676"/>
      <c r="EV5" s="676"/>
      <c r="EW5" s="676"/>
      <c r="EX5" s="676"/>
      <c r="EY5" s="676"/>
      <c r="EZ5" s="676"/>
      <c r="FA5" s="676"/>
      <c r="FB5" s="676"/>
      <c r="FC5" s="677"/>
    </row>
    <row r="6" spans="1:160" ht="25.7" customHeight="1" thickBot="1" x14ac:dyDescent="0.3">
      <c r="A6" s="708" t="s">
        <v>2</v>
      </c>
      <c r="B6" s="709"/>
      <c r="C6" s="709"/>
      <c r="D6" s="709"/>
      <c r="E6" s="709"/>
      <c r="F6" s="709"/>
      <c r="G6" s="675" t="s">
        <v>331</v>
      </c>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c r="BZ6" s="676"/>
      <c r="CA6" s="676"/>
      <c r="CB6" s="676"/>
      <c r="CC6" s="676"/>
      <c r="CD6" s="676"/>
      <c r="CE6" s="676"/>
      <c r="CF6" s="676"/>
      <c r="CG6" s="676"/>
      <c r="CH6" s="676"/>
      <c r="CI6" s="676"/>
      <c r="CJ6" s="676"/>
      <c r="CK6" s="676"/>
      <c r="CL6" s="676"/>
      <c r="CM6" s="676"/>
      <c r="CN6" s="676"/>
      <c r="CO6" s="676"/>
      <c r="CP6" s="676"/>
      <c r="CQ6" s="676"/>
      <c r="CR6" s="676"/>
      <c r="CS6" s="676"/>
      <c r="CT6" s="676"/>
      <c r="CU6" s="676"/>
      <c r="CV6" s="676"/>
      <c r="CW6" s="676"/>
      <c r="CX6" s="676"/>
      <c r="CY6" s="676"/>
      <c r="CZ6" s="676"/>
      <c r="DA6" s="676"/>
      <c r="DB6" s="676"/>
      <c r="DC6" s="676"/>
      <c r="DD6" s="676"/>
      <c r="DE6" s="676"/>
      <c r="DF6" s="676"/>
      <c r="DG6" s="676"/>
      <c r="DH6" s="676"/>
      <c r="DI6" s="676"/>
      <c r="DJ6" s="676"/>
      <c r="DK6" s="676"/>
      <c r="DL6" s="676"/>
      <c r="DM6" s="676"/>
      <c r="DN6" s="676"/>
      <c r="DO6" s="676"/>
      <c r="DP6" s="676"/>
      <c r="DQ6" s="676"/>
      <c r="DR6" s="676"/>
      <c r="DS6" s="676"/>
      <c r="DT6" s="676"/>
      <c r="DU6" s="676"/>
      <c r="DV6" s="676"/>
      <c r="DW6" s="676"/>
      <c r="DX6" s="676"/>
      <c r="DY6" s="676"/>
      <c r="DZ6" s="676"/>
      <c r="EA6" s="676"/>
      <c r="EB6" s="676"/>
      <c r="EC6" s="676"/>
      <c r="ED6" s="676"/>
      <c r="EE6" s="676"/>
      <c r="EF6" s="676"/>
      <c r="EG6" s="676"/>
      <c r="EH6" s="676"/>
      <c r="EI6" s="676"/>
      <c r="EJ6" s="676"/>
      <c r="EK6" s="676"/>
      <c r="EL6" s="676"/>
      <c r="EM6" s="676"/>
      <c r="EN6" s="676"/>
      <c r="EO6" s="676"/>
      <c r="EP6" s="676"/>
      <c r="EQ6" s="676"/>
      <c r="ER6" s="676"/>
      <c r="ES6" s="676"/>
      <c r="ET6" s="676"/>
      <c r="EU6" s="676"/>
      <c r="EV6" s="676"/>
      <c r="EW6" s="676"/>
      <c r="EX6" s="676"/>
      <c r="EY6" s="676"/>
      <c r="EZ6" s="676"/>
      <c r="FA6" s="676"/>
      <c r="FB6" s="676"/>
      <c r="FC6" s="677"/>
    </row>
    <row r="7" spans="1:160" ht="25.7" customHeight="1" thickBot="1" x14ac:dyDescent="0.3">
      <c r="A7" s="708" t="s">
        <v>55</v>
      </c>
      <c r="B7" s="709"/>
      <c r="C7" s="709"/>
      <c r="D7" s="709"/>
      <c r="E7" s="709"/>
      <c r="F7" s="709"/>
      <c r="G7" s="675" t="s">
        <v>295</v>
      </c>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c r="AV7" s="676"/>
      <c r="AW7" s="676"/>
      <c r="AX7" s="676"/>
      <c r="AY7" s="676"/>
      <c r="AZ7" s="676"/>
      <c r="BA7" s="676"/>
      <c r="BB7" s="676"/>
      <c r="BC7" s="676"/>
      <c r="BD7" s="676"/>
      <c r="BE7" s="676"/>
      <c r="BF7" s="676"/>
      <c r="BG7" s="676"/>
      <c r="BH7" s="676"/>
      <c r="BI7" s="676"/>
      <c r="BJ7" s="676"/>
      <c r="BK7" s="676"/>
      <c r="BL7" s="676"/>
      <c r="BM7" s="676"/>
      <c r="BN7" s="676"/>
      <c r="BO7" s="676"/>
      <c r="BP7" s="676"/>
      <c r="BQ7" s="676"/>
      <c r="BR7" s="676"/>
      <c r="BS7" s="676"/>
      <c r="BT7" s="676"/>
      <c r="BU7" s="676"/>
      <c r="BV7" s="676"/>
      <c r="BW7" s="676"/>
      <c r="BX7" s="676"/>
      <c r="BY7" s="676"/>
      <c r="BZ7" s="676"/>
      <c r="CA7" s="676"/>
      <c r="CB7" s="676"/>
      <c r="CC7" s="676"/>
      <c r="CD7" s="676"/>
      <c r="CE7" s="676"/>
      <c r="CF7" s="676"/>
      <c r="CG7" s="676"/>
      <c r="CH7" s="676"/>
      <c r="CI7" s="676"/>
      <c r="CJ7" s="676"/>
      <c r="CK7" s="676"/>
      <c r="CL7" s="676"/>
      <c r="CM7" s="676"/>
      <c r="CN7" s="676"/>
      <c r="CO7" s="676"/>
      <c r="CP7" s="676"/>
      <c r="CQ7" s="676"/>
      <c r="CR7" s="676"/>
      <c r="CS7" s="676"/>
      <c r="CT7" s="676"/>
      <c r="CU7" s="676"/>
      <c r="CV7" s="676"/>
      <c r="CW7" s="676"/>
      <c r="CX7" s="676"/>
      <c r="CY7" s="676"/>
      <c r="CZ7" s="676"/>
      <c r="DA7" s="676"/>
      <c r="DB7" s="676"/>
      <c r="DC7" s="676"/>
      <c r="DD7" s="676"/>
      <c r="DE7" s="676"/>
      <c r="DF7" s="676"/>
      <c r="DG7" s="676"/>
      <c r="DH7" s="676"/>
      <c r="DI7" s="676"/>
      <c r="DJ7" s="676"/>
      <c r="DK7" s="676"/>
      <c r="DL7" s="676"/>
      <c r="DM7" s="676"/>
      <c r="DN7" s="676"/>
      <c r="DO7" s="676"/>
      <c r="DP7" s="676"/>
      <c r="DQ7" s="676"/>
      <c r="DR7" s="676"/>
      <c r="DS7" s="676"/>
      <c r="DT7" s="676"/>
      <c r="DU7" s="676"/>
      <c r="DV7" s="676"/>
      <c r="DW7" s="676"/>
      <c r="DX7" s="676"/>
      <c r="DY7" s="676"/>
      <c r="DZ7" s="676"/>
      <c r="EA7" s="676"/>
      <c r="EB7" s="676"/>
      <c r="EC7" s="676"/>
      <c r="ED7" s="676"/>
      <c r="EE7" s="676"/>
      <c r="EF7" s="676"/>
      <c r="EG7" s="676"/>
      <c r="EH7" s="676"/>
      <c r="EI7" s="676"/>
      <c r="EJ7" s="676"/>
      <c r="EK7" s="676"/>
      <c r="EL7" s="676"/>
      <c r="EM7" s="676"/>
      <c r="EN7" s="676"/>
      <c r="EO7" s="676"/>
      <c r="EP7" s="676"/>
      <c r="EQ7" s="676"/>
      <c r="ER7" s="676"/>
      <c r="ES7" s="676"/>
      <c r="ET7" s="676"/>
      <c r="EU7" s="676"/>
      <c r="EV7" s="676"/>
      <c r="EW7" s="676"/>
      <c r="EX7" s="676"/>
      <c r="EY7" s="676"/>
      <c r="EZ7" s="676"/>
      <c r="FA7" s="676"/>
      <c r="FB7" s="676"/>
      <c r="FC7" s="677"/>
    </row>
    <row r="8" spans="1:160" ht="25.7" customHeight="1" thickBot="1" x14ac:dyDescent="0.3">
      <c r="A8" s="673" t="s">
        <v>1</v>
      </c>
      <c r="B8" s="674"/>
      <c r="C8" s="674"/>
      <c r="D8" s="674"/>
      <c r="E8" s="674"/>
      <c r="F8" s="674"/>
      <c r="G8" s="678" t="s">
        <v>296</v>
      </c>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c r="AX8" s="679"/>
      <c r="AY8" s="679"/>
      <c r="AZ8" s="679"/>
      <c r="BA8" s="679"/>
      <c r="BB8" s="679"/>
      <c r="BC8" s="679"/>
      <c r="BD8" s="679"/>
      <c r="BE8" s="679"/>
      <c r="BF8" s="679"/>
      <c r="BG8" s="679"/>
      <c r="BH8" s="679"/>
      <c r="BI8" s="679"/>
      <c r="BJ8" s="679"/>
      <c r="BK8" s="679"/>
      <c r="BL8" s="679"/>
      <c r="BM8" s="679"/>
      <c r="BN8" s="679"/>
      <c r="BO8" s="679"/>
      <c r="BP8" s="679"/>
      <c r="BQ8" s="679"/>
      <c r="BR8" s="679"/>
      <c r="BS8" s="679"/>
      <c r="BT8" s="679"/>
      <c r="BU8" s="679"/>
      <c r="BV8" s="679"/>
      <c r="BW8" s="679"/>
      <c r="BX8" s="679"/>
      <c r="BY8" s="679"/>
      <c r="BZ8" s="679"/>
      <c r="CA8" s="679"/>
      <c r="CB8" s="679"/>
      <c r="CC8" s="679"/>
      <c r="CD8" s="679"/>
      <c r="CE8" s="679"/>
      <c r="CF8" s="679"/>
      <c r="CG8" s="679"/>
      <c r="CH8" s="679"/>
      <c r="CI8" s="679"/>
      <c r="CJ8" s="679"/>
      <c r="CK8" s="679"/>
      <c r="CL8" s="679"/>
      <c r="CM8" s="679"/>
      <c r="CN8" s="679"/>
      <c r="CO8" s="679"/>
      <c r="CP8" s="679"/>
      <c r="CQ8" s="679"/>
      <c r="CR8" s="679"/>
      <c r="CS8" s="679"/>
      <c r="CT8" s="679"/>
      <c r="CU8" s="679"/>
      <c r="CV8" s="679"/>
      <c r="CW8" s="679"/>
      <c r="CX8" s="679"/>
      <c r="CY8" s="679"/>
      <c r="CZ8" s="679"/>
      <c r="DA8" s="679"/>
      <c r="DB8" s="679"/>
      <c r="DC8" s="679"/>
      <c r="DD8" s="679"/>
      <c r="DE8" s="679"/>
      <c r="DF8" s="679"/>
      <c r="DG8" s="679"/>
      <c r="DH8" s="679"/>
      <c r="DI8" s="679"/>
      <c r="DJ8" s="679"/>
      <c r="DK8" s="679"/>
      <c r="DL8" s="679"/>
      <c r="DM8" s="679"/>
      <c r="DN8" s="679"/>
      <c r="DO8" s="679"/>
      <c r="DP8" s="679"/>
      <c r="DQ8" s="679"/>
      <c r="DR8" s="679"/>
      <c r="DS8" s="679"/>
      <c r="DT8" s="679"/>
      <c r="DU8" s="679"/>
      <c r="DV8" s="679"/>
      <c r="DW8" s="679"/>
      <c r="DX8" s="679"/>
      <c r="DY8" s="679"/>
      <c r="DZ8" s="679"/>
      <c r="EA8" s="679"/>
      <c r="EB8" s="679"/>
      <c r="EC8" s="679"/>
      <c r="ED8" s="679"/>
      <c r="EE8" s="679"/>
      <c r="EF8" s="679"/>
      <c r="EG8" s="679"/>
      <c r="EH8" s="679"/>
      <c r="EI8" s="679"/>
      <c r="EJ8" s="679"/>
      <c r="EK8" s="679"/>
      <c r="EL8" s="679"/>
      <c r="EM8" s="679"/>
      <c r="EN8" s="679"/>
      <c r="EO8" s="679"/>
      <c r="EP8" s="679"/>
      <c r="EQ8" s="679"/>
      <c r="ER8" s="679"/>
      <c r="ES8" s="679"/>
      <c r="ET8" s="679"/>
      <c r="EU8" s="679"/>
      <c r="EV8" s="679"/>
      <c r="EW8" s="679"/>
      <c r="EX8" s="679"/>
      <c r="EY8" s="679"/>
      <c r="EZ8" s="679"/>
      <c r="FA8" s="679"/>
      <c r="FB8" s="679"/>
      <c r="FC8" s="680"/>
    </row>
    <row r="9" spans="1:160" ht="19.5" customHeight="1" thickBot="1" x14ac:dyDescent="0.3">
      <c r="A9" s="397"/>
      <c r="B9" s="397"/>
      <c r="C9" s="397"/>
      <c r="D9" s="397"/>
      <c r="E9" s="397"/>
      <c r="F9" s="397"/>
      <c r="G9" s="397"/>
      <c r="H9" s="397"/>
      <c r="I9" s="397"/>
      <c r="J9" s="397"/>
      <c r="K9" s="397"/>
      <c r="L9" s="397"/>
      <c r="M9" s="397"/>
      <c r="N9" s="397"/>
      <c r="O9" s="397"/>
      <c r="P9" s="397"/>
      <c r="Q9" s="397"/>
      <c r="R9" s="397"/>
      <c r="S9" s="397"/>
      <c r="T9" s="397"/>
      <c r="U9" s="398"/>
      <c r="V9" s="397"/>
      <c r="W9" s="397"/>
      <c r="X9" s="397"/>
      <c r="Y9" s="398"/>
      <c r="Z9" s="397"/>
      <c r="AA9" s="397"/>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398"/>
      <c r="AZ9" s="398"/>
      <c r="BA9" s="398"/>
      <c r="BB9" s="398"/>
      <c r="BC9" s="398"/>
      <c r="BD9" s="398"/>
      <c r="BE9" s="398"/>
      <c r="BF9" s="398"/>
      <c r="BG9" s="398"/>
      <c r="BH9" s="397"/>
      <c r="BI9" s="397"/>
      <c r="BJ9" s="397"/>
      <c r="BK9" s="397"/>
      <c r="BL9" s="397"/>
      <c r="BM9" s="397"/>
      <c r="BN9" s="397"/>
      <c r="BO9" s="397"/>
      <c r="BP9" s="397"/>
      <c r="BQ9" s="397"/>
      <c r="BR9" s="397"/>
      <c r="BS9" s="397"/>
      <c r="BT9" s="397"/>
      <c r="BU9" s="397"/>
      <c r="BV9" s="397"/>
      <c r="BW9" s="397"/>
      <c r="BX9" s="397"/>
      <c r="BY9" s="397"/>
      <c r="BZ9" s="397"/>
      <c r="CA9" s="397"/>
      <c r="CB9" s="397"/>
      <c r="CC9" s="397"/>
      <c r="CD9" s="397"/>
      <c r="CE9" s="397"/>
      <c r="CF9" s="397"/>
      <c r="CG9" s="397"/>
      <c r="CH9" s="397"/>
      <c r="CI9" s="397"/>
      <c r="CJ9" s="397"/>
      <c r="CK9" s="397"/>
      <c r="CL9" s="397"/>
      <c r="CM9" s="397"/>
      <c r="CN9" s="397"/>
      <c r="CO9" s="397"/>
      <c r="CP9" s="397"/>
      <c r="CQ9" s="397"/>
      <c r="CR9" s="397"/>
      <c r="CS9" s="397"/>
      <c r="CT9" s="397"/>
      <c r="CU9" s="397"/>
      <c r="CV9" s="397"/>
      <c r="CW9" s="397"/>
      <c r="CX9" s="397"/>
      <c r="CY9" s="397"/>
      <c r="CZ9" s="397"/>
      <c r="DA9" s="397"/>
      <c r="DB9" s="397"/>
      <c r="DC9" s="397"/>
      <c r="DD9" s="397"/>
      <c r="DE9" s="397"/>
      <c r="DF9" s="397"/>
      <c r="DG9" s="397"/>
      <c r="DH9" s="397"/>
      <c r="DI9" s="397"/>
      <c r="DJ9" s="397"/>
      <c r="DK9" s="397"/>
      <c r="DL9" s="397"/>
      <c r="DM9" s="397"/>
      <c r="DN9" s="397"/>
      <c r="DO9" s="397"/>
      <c r="DP9" s="397"/>
      <c r="DQ9" s="397"/>
      <c r="DR9" s="397"/>
      <c r="DS9" s="397"/>
      <c r="DT9" s="397"/>
      <c r="DU9" s="397"/>
      <c r="DV9" s="397"/>
      <c r="DW9" s="397"/>
      <c r="DX9" s="397"/>
      <c r="DY9" s="397"/>
      <c r="DZ9" s="397"/>
      <c r="EA9" s="397"/>
      <c r="EB9" s="397"/>
      <c r="EC9" s="397"/>
      <c r="ED9" s="397"/>
      <c r="EE9" s="397"/>
      <c r="EF9" s="397"/>
      <c r="EG9" s="397"/>
      <c r="EH9" s="397"/>
      <c r="EI9" s="397"/>
      <c r="EJ9" s="397"/>
      <c r="EK9" s="397"/>
      <c r="EL9" s="397"/>
      <c r="EM9" s="397"/>
      <c r="EN9" s="397"/>
      <c r="EO9" s="397"/>
      <c r="EP9" s="397"/>
      <c r="EQ9" s="397"/>
      <c r="ER9" s="397"/>
      <c r="ES9" s="397"/>
      <c r="ET9" s="397"/>
      <c r="EU9" s="397"/>
      <c r="EV9" s="397"/>
      <c r="EW9" s="397"/>
      <c r="EX9" s="397"/>
      <c r="EY9" s="399"/>
      <c r="EZ9" s="397"/>
      <c r="FA9" s="397"/>
      <c r="FB9" s="397"/>
      <c r="FC9" s="397"/>
    </row>
    <row r="10" spans="1:160" s="1" customFormat="1" ht="25.7" customHeight="1" thickBot="1" x14ac:dyDescent="0.25">
      <c r="A10" s="658" t="s">
        <v>69</v>
      </c>
      <c r="B10" s="659"/>
      <c r="C10" s="659"/>
      <c r="D10" s="659"/>
      <c r="E10" s="659"/>
      <c r="F10" s="659"/>
      <c r="G10" s="659"/>
      <c r="H10" s="659"/>
      <c r="I10" s="660"/>
      <c r="J10" s="659" t="s">
        <v>203</v>
      </c>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c r="BB10" s="659"/>
      <c r="BC10" s="659"/>
      <c r="BD10" s="659"/>
      <c r="BE10" s="659"/>
      <c r="BF10" s="659"/>
      <c r="BG10" s="659"/>
      <c r="BH10" s="659"/>
      <c r="BI10" s="659"/>
      <c r="BJ10" s="659"/>
      <c r="BK10" s="659"/>
      <c r="BL10" s="659"/>
      <c r="BM10" s="659"/>
      <c r="BN10" s="659"/>
      <c r="BO10" s="659"/>
      <c r="BP10" s="659"/>
      <c r="BQ10" s="659"/>
      <c r="BR10" s="659"/>
      <c r="BS10" s="659"/>
      <c r="BT10" s="659"/>
      <c r="BU10" s="659"/>
      <c r="BV10" s="659"/>
      <c r="BW10" s="659"/>
      <c r="BX10" s="659"/>
      <c r="BY10" s="659"/>
      <c r="BZ10" s="659"/>
      <c r="CA10" s="659"/>
      <c r="CB10" s="659"/>
      <c r="CC10" s="659"/>
      <c r="CD10" s="659"/>
      <c r="CE10" s="659"/>
      <c r="CF10" s="659"/>
      <c r="CG10" s="659"/>
      <c r="CH10" s="659"/>
      <c r="CI10" s="659"/>
      <c r="CJ10" s="659"/>
      <c r="CK10" s="659"/>
      <c r="CL10" s="659"/>
      <c r="CM10" s="659"/>
      <c r="CN10" s="659"/>
      <c r="CO10" s="659"/>
      <c r="CP10" s="659"/>
      <c r="CQ10" s="659"/>
      <c r="CR10" s="659"/>
      <c r="CS10" s="659"/>
      <c r="CT10" s="659"/>
      <c r="CU10" s="659"/>
      <c r="CV10" s="659"/>
      <c r="CW10" s="659"/>
      <c r="CX10" s="659"/>
      <c r="CY10" s="659"/>
      <c r="CZ10" s="659"/>
      <c r="DA10" s="659"/>
      <c r="DB10" s="659"/>
      <c r="DC10" s="659"/>
      <c r="DD10" s="659"/>
      <c r="DE10" s="659"/>
      <c r="DF10" s="659"/>
      <c r="DG10" s="659"/>
      <c r="DH10" s="659"/>
      <c r="DI10" s="659"/>
      <c r="DJ10" s="659"/>
      <c r="DK10" s="659"/>
      <c r="DL10" s="659"/>
      <c r="DM10" s="659"/>
      <c r="DN10" s="659"/>
      <c r="DO10" s="659"/>
      <c r="DP10" s="659"/>
      <c r="DQ10" s="659"/>
      <c r="DR10" s="659"/>
      <c r="DS10" s="659"/>
      <c r="DT10" s="659"/>
      <c r="DU10" s="659"/>
      <c r="DV10" s="659"/>
      <c r="DW10" s="659"/>
      <c r="DX10" s="659"/>
      <c r="DY10" s="659"/>
      <c r="DZ10" s="659"/>
      <c r="EA10" s="659"/>
      <c r="EB10" s="659"/>
      <c r="EC10" s="659"/>
      <c r="ED10" s="659"/>
      <c r="EE10" s="659"/>
      <c r="EF10" s="659"/>
      <c r="EG10" s="659"/>
      <c r="EH10" s="659"/>
      <c r="EI10" s="659"/>
      <c r="EJ10" s="659"/>
      <c r="EK10" s="659"/>
      <c r="EL10" s="659"/>
      <c r="EM10" s="659"/>
      <c r="EN10" s="659"/>
      <c r="EO10" s="659"/>
      <c r="EP10" s="659"/>
      <c r="EQ10" s="659"/>
      <c r="ER10" s="659"/>
      <c r="ES10" s="660"/>
      <c r="ET10" s="666" t="s">
        <v>195</v>
      </c>
      <c r="EU10" s="666" t="s">
        <v>196</v>
      </c>
      <c r="EV10" s="661" t="s">
        <v>197</v>
      </c>
      <c r="EW10" s="670" t="s">
        <v>459</v>
      </c>
      <c r="EX10" s="661" t="s">
        <v>244</v>
      </c>
      <c r="EY10" s="705" t="s">
        <v>245</v>
      </c>
      <c r="EZ10" s="681" t="s">
        <v>246</v>
      </c>
      <c r="FA10" s="681" t="s">
        <v>247</v>
      </c>
      <c r="FB10" s="681" t="s">
        <v>249</v>
      </c>
      <c r="FC10" s="702" t="s">
        <v>248</v>
      </c>
    </row>
    <row r="11" spans="1:160" s="1" customFormat="1" ht="25.7" customHeight="1" thickBot="1" x14ac:dyDescent="0.25">
      <c r="A11" s="658" t="s">
        <v>79</v>
      </c>
      <c r="B11" s="659"/>
      <c r="C11" s="659"/>
      <c r="D11" s="659"/>
      <c r="E11" s="659"/>
      <c r="F11" s="659"/>
      <c r="G11" s="659"/>
      <c r="H11" s="659"/>
      <c r="I11" s="660"/>
      <c r="J11" s="664" t="s">
        <v>48</v>
      </c>
      <c r="K11" s="665"/>
      <c r="L11" s="665"/>
      <c r="M11" s="665"/>
      <c r="N11" s="665"/>
      <c r="O11" s="665"/>
      <c r="P11" s="665"/>
      <c r="Q11" s="665"/>
      <c r="R11" s="665"/>
      <c r="S11" s="665"/>
      <c r="T11" s="665"/>
      <c r="U11" s="665"/>
      <c r="V11" s="665"/>
      <c r="W11" s="665"/>
      <c r="X11" s="665"/>
      <c r="Y11" s="665"/>
      <c r="Z11" s="665"/>
      <c r="AA11" s="665"/>
      <c r="AB11" s="665"/>
      <c r="AC11" s="669"/>
      <c r="AD11" s="664" t="s">
        <v>49</v>
      </c>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c r="BA11" s="665"/>
      <c r="BB11" s="665"/>
      <c r="BC11" s="665"/>
      <c r="BD11" s="665"/>
      <c r="BE11" s="665"/>
      <c r="BF11" s="665"/>
      <c r="BG11" s="669"/>
      <c r="BH11" s="664" t="s">
        <v>61</v>
      </c>
      <c r="BI11" s="665"/>
      <c r="BJ11" s="665"/>
      <c r="BK11" s="665"/>
      <c r="BL11" s="665"/>
      <c r="BM11" s="665"/>
      <c r="BN11" s="665"/>
      <c r="BO11" s="665"/>
      <c r="BP11" s="665"/>
      <c r="BQ11" s="665"/>
      <c r="BR11" s="665"/>
      <c r="BS11" s="665"/>
      <c r="BT11" s="665"/>
      <c r="BU11" s="665"/>
      <c r="BV11" s="665"/>
      <c r="BW11" s="665"/>
      <c r="BX11" s="665"/>
      <c r="BY11" s="665"/>
      <c r="BZ11" s="665"/>
      <c r="CA11" s="665"/>
      <c r="CB11" s="665"/>
      <c r="CC11" s="665"/>
      <c r="CD11" s="665"/>
      <c r="CE11" s="665"/>
      <c r="CF11" s="665"/>
      <c r="CG11" s="665"/>
      <c r="CH11" s="665"/>
      <c r="CI11" s="665"/>
      <c r="CJ11" s="665"/>
      <c r="CK11" s="669"/>
      <c r="CL11" s="665" t="s">
        <v>62</v>
      </c>
      <c r="CM11" s="665"/>
      <c r="CN11" s="665"/>
      <c r="CO11" s="665"/>
      <c r="CP11" s="665"/>
      <c r="CQ11" s="665"/>
      <c r="CR11" s="665"/>
      <c r="CS11" s="665"/>
      <c r="CT11" s="665"/>
      <c r="CU11" s="665"/>
      <c r="CV11" s="665"/>
      <c r="CW11" s="665"/>
      <c r="CX11" s="665"/>
      <c r="CY11" s="665"/>
      <c r="CZ11" s="665"/>
      <c r="DA11" s="665"/>
      <c r="DB11" s="665"/>
      <c r="DC11" s="665"/>
      <c r="DD11" s="665"/>
      <c r="DE11" s="665"/>
      <c r="DF11" s="665"/>
      <c r="DG11" s="665"/>
      <c r="DH11" s="665"/>
      <c r="DI11" s="665"/>
      <c r="DJ11" s="665"/>
      <c r="DK11" s="665"/>
      <c r="DL11" s="665"/>
      <c r="DM11" s="665"/>
      <c r="DN11" s="665"/>
      <c r="DO11" s="665"/>
      <c r="DP11" s="664" t="s">
        <v>63</v>
      </c>
      <c r="DQ11" s="665"/>
      <c r="DR11" s="665"/>
      <c r="DS11" s="665"/>
      <c r="DT11" s="665"/>
      <c r="DU11" s="665"/>
      <c r="DV11" s="665"/>
      <c r="DW11" s="665"/>
      <c r="DX11" s="665"/>
      <c r="DY11" s="665"/>
      <c r="DZ11" s="665"/>
      <c r="EA11" s="665"/>
      <c r="EB11" s="665"/>
      <c r="EC11" s="665"/>
      <c r="ED11" s="665"/>
      <c r="EE11" s="665"/>
      <c r="EF11" s="665"/>
      <c r="EG11" s="665"/>
      <c r="EH11" s="665"/>
      <c r="EI11" s="665"/>
      <c r="EJ11" s="665"/>
      <c r="EK11" s="665"/>
      <c r="EL11" s="665"/>
      <c r="EM11" s="665"/>
      <c r="EN11" s="665"/>
      <c r="EO11" s="665"/>
      <c r="EP11" s="665"/>
      <c r="EQ11" s="665"/>
      <c r="ER11" s="665"/>
      <c r="ES11" s="665"/>
      <c r="ET11" s="667"/>
      <c r="EU11" s="667"/>
      <c r="EV11" s="662"/>
      <c r="EW11" s="671"/>
      <c r="EX11" s="662"/>
      <c r="EY11" s="706"/>
      <c r="EZ11" s="682"/>
      <c r="FA11" s="682"/>
      <c r="FB11" s="682"/>
      <c r="FC11" s="703"/>
    </row>
    <row r="12" spans="1:160" s="75" customFormat="1" ht="112.5" customHeight="1" thickBot="1" x14ac:dyDescent="0.3">
      <c r="A12" s="409" t="s">
        <v>70</v>
      </c>
      <c r="B12" s="409" t="s">
        <v>71</v>
      </c>
      <c r="C12" s="410" t="s">
        <v>72</v>
      </c>
      <c r="D12" s="410" t="s">
        <v>73</v>
      </c>
      <c r="E12" s="410" t="s">
        <v>74</v>
      </c>
      <c r="F12" s="410" t="s">
        <v>75</v>
      </c>
      <c r="G12" s="410" t="s">
        <v>76</v>
      </c>
      <c r="H12" s="410" t="s">
        <v>77</v>
      </c>
      <c r="I12" s="411" t="s">
        <v>78</v>
      </c>
      <c r="J12" s="412" t="s">
        <v>263</v>
      </c>
      <c r="K12" s="413" t="s">
        <v>264</v>
      </c>
      <c r="L12" s="74" t="s">
        <v>265</v>
      </c>
      <c r="M12" s="413" t="s">
        <v>266</v>
      </c>
      <c r="N12" s="74" t="s">
        <v>267</v>
      </c>
      <c r="O12" s="413" t="s">
        <v>268</v>
      </c>
      <c r="P12" s="74" t="s">
        <v>269</v>
      </c>
      <c r="Q12" s="413" t="s">
        <v>270</v>
      </c>
      <c r="R12" s="74" t="s">
        <v>271</v>
      </c>
      <c r="S12" s="413" t="s">
        <v>272</v>
      </c>
      <c r="T12" s="74" t="s">
        <v>273</v>
      </c>
      <c r="U12" s="413" t="s">
        <v>274</v>
      </c>
      <c r="V12" s="74" t="s">
        <v>275</v>
      </c>
      <c r="W12" s="413" t="s">
        <v>276</v>
      </c>
      <c r="X12" s="414" t="s">
        <v>277</v>
      </c>
      <c r="Y12" s="415" t="s">
        <v>192</v>
      </c>
      <c r="Z12" s="416" t="s">
        <v>250</v>
      </c>
      <c r="AA12" s="417" t="s">
        <v>251</v>
      </c>
      <c r="AB12" s="418" t="s">
        <v>252</v>
      </c>
      <c r="AC12" s="417" t="s">
        <v>253</v>
      </c>
      <c r="AD12" s="412" t="s">
        <v>263</v>
      </c>
      <c r="AE12" s="413" t="s">
        <v>278</v>
      </c>
      <c r="AF12" s="74" t="s">
        <v>279</v>
      </c>
      <c r="AG12" s="413" t="s">
        <v>280</v>
      </c>
      <c r="AH12" s="74" t="s">
        <v>281</v>
      </c>
      <c r="AI12" s="413" t="s">
        <v>282</v>
      </c>
      <c r="AJ12" s="74" t="s">
        <v>283</v>
      </c>
      <c r="AK12" s="413" t="s">
        <v>284</v>
      </c>
      <c r="AL12" s="74" t="s">
        <v>285</v>
      </c>
      <c r="AM12" s="413" t="s">
        <v>286</v>
      </c>
      <c r="AN12" s="74" t="s">
        <v>287</v>
      </c>
      <c r="AO12" s="413" t="s">
        <v>264</v>
      </c>
      <c r="AP12" s="74" t="s">
        <v>265</v>
      </c>
      <c r="AQ12" s="413" t="s">
        <v>266</v>
      </c>
      <c r="AR12" s="74" t="s">
        <v>267</v>
      </c>
      <c r="AS12" s="413" t="s">
        <v>268</v>
      </c>
      <c r="AT12" s="74" t="s">
        <v>269</v>
      </c>
      <c r="AU12" s="413" t="s">
        <v>270</v>
      </c>
      <c r="AV12" s="74" t="s">
        <v>271</v>
      </c>
      <c r="AW12" s="413" t="s">
        <v>272</v>
      </c>
      <c r="AX12" s="74" t="s">
        <v>273</v>
      </c>
      <c r="AY12" s="413" t="s">
        <v>274</v>
      </c>
      <c r="AZ12" s="74" t="s">
        <v>275</v>
      </c>
      <c r="BA12" s="413" t="s">
        <v>276</v>
      </c>
      <c r="BB12" s="414" t="s">
        <v>277</v>
      </c>
      <c r="BC12" s="415" t="s">
        <v>192</v>
      </c>
      <c r="BD12" s="419" t="s">
        <v>242</v>
      </c>
      <c r="BE12" s="417" t="s">
        <v>241</v>
      </c>
      <c r="BF12" s="418" t="s">
        <v>240</v>
      </c>
      <c r="BG12" s="417" t="s">
        <v>239</v>
      </c>
      <c r="BH12" s="412" t="s">
        <v>263</v>
      </c>
      <c r="BI12" s="413" t="s">
        <v>278</v>
      </c>
      <c r="BJ12" s="74" t="s">
        <v>279</v>
      </c>
      <c r="BK12" s="413" t="s">
        <v>280</v>
      </c>
      <c r="BL12" s="74" t="s">
        <v>281</v>
      </c>
      <c r="BM12" s="413" t="s">
        <v>282</v>
      </c>
      <c r="BN12" s="74" t="s">
        <v>283</v>
      </c>
      <c r="BO12" s="413" t="s">
        <v>284</v>
      </c>
      <c r="BP12" s="74" t="s">
        <v>285</v>
      </c>
      <c r="BQ12" s="413" t="s">
        <v>286</v>
      </c>
      <c r="BR12" s="74" t="s">
        <v>287</v>
      </c>
      <c r="BS12" s="413" t="s">
        <v>264</v>
      </c>
      <c r="BT12" s="74" t="s">
        <v>265</v>
      </c>
      <c r="BU12" s="413" t="s">
        <v>266</v>
      </c>
      <c r="BV12" s="74" t="s">
        <v>267</v>
      </c>
      <c r="BW12" s="413" t="s">
        <v>268</v>
      </c>
      <c r="BX12" s="74" t="s">
        <v>269</v>
      </c>
      <c r="BY12" s="413" t="s">
        <v>270</v>
      </c>
      <c r="BZ12" s="74" t="s">
        <v>271</v>
      </c>
      <c r="CA12" s="413" t="s">
        <v>272</v>
      </c>
      <c r="CB12" s="74" t="s">
        <v>273</v>
      </c>
      <c r="CC12" s="413" t="s">
        <v>274</v>
      </c>
      <c r="CD12" s="74" t="s">
        <v>275</v>
      </c>
      <c r="CE12" s="413" t="s">
        <v>276</v>
      </c>
      <c r="CF12" s="414" t="s">
        <v>277</v>
      </c>
      <c r="CG12" s="415" t="s">
        <v>192</v>
      </c>
      <c r="CH12" s="418" t="s">
        <v>198</v>
      </c>
      <c r="CI12" s="417" t="s">
        <v>199</v>
      </c>
      <c r="CJ12" s="418" t="s">
        <v>200</v>
      </c>
      <c r="CK12" s="417" t="s">
        <v>201</v>
      </c>
      <c r="CL12" s="420" t="s">
        <v>263</v>
      </c>
      <c r="CM12" s="413" t="s">
        <v>278</v>
      </c>
      <c r="CN12" s="74" t="s">
        <v>279</v>
      </c>
      <c r="CO12" s="413" t="s">
        <v>280</v>
      </c>
      <c r="CP12" s="74" t="s">
        <v>281</v>
      </c>
      <c r="CQ12" s="413" t="s">
        <v>282</v>
      </c>
      <c r="CR12" s="74" t="s">
        <v>283</v>
      </c>
      <c r="CS12" s="413" t="s">
        <v>284</v>
      </c>
      <c r="CT12" s="74" t="s">
        <v>285</v>
      </c>
      <c r="CU12" s="413" t="s">
        <v>286</v>
      </c>
      <c r="CV12" s="74" t="s">
        <v>287</v>
      </c>
      <c r="CW12" s="413" t="s">
        <v>264</v>
      </c>
      <c r="CX12" s="74" t="s">
        <v>265</v>
      </c>
      <c r="CY12" s="413" t="s">
        <v>266</v>
      </c>
      <c r="CZ12" s="74" t="s">
        <v>267</v>
      </c>
      <c r="DA12" s="413" t="s">
        <v>268</v>
      </c>
      <c r="DB12" s="74" t="s">
        <v>269</v>
      </c>
      <c r="DC12" s="413" t="s">
        <v>270</v>
      </c>
      <c r="DD12" s="74" t="s">
        <v>271</v>
      </c>
      <c r="DE12" s="413" t="s">
        <v>272</v>
      </c>
      <c r="DF12" s="74" t="s">
        <v>273</v>
      </c>
      <c r="DG12" s="413" t="s">
        <v>274</v>
      </c>
      <c r="DH12" s="74" t="s">
        <v>275</v>
      </c>
      <c r="DI12" s="413" t="s">
        <v>276</v>
      </c>
      <c r="DJ12" s="414" t="s">
        <v>277</v>
      </c>
      <c r="DK12" s="415" t="s">
        <v>192</v>
      </c>
      <c r="DL12" s="421" t="s">
        <v>204</v>
      </c>
      <c r="DM12" s="422" t="s">
        <v>205</v>
      </c>
      <c r="DN12" s="423" t="s">
        <v>206</v>
      </c>
      <c r="DO12" s="422" t="s">
        <v>207</v>
      </c>
      <c r="DP12" s="420" t="s">
        <v>263</v>
      </c>
      <c r="DQ12" s="413" t="s">
        <v>278</v>
      </c>
      <c r="DR12" s="74" t="s">
        <v>279</v>
      </c>
      <c r="DS12" s="413" t="s">
        <v>280</v>
      </c>
      <c r="DT12" s="74" t="s">
        <v>281</v>
      </c>
      <c r="DU12" s="413" t="s">
        <v>282</v>
      </c>
      <c r="DV12" s="74" t="s">
        <v>283</v>
      </c>
      <c r="DW12" s="413" t="s">
        <v>284</v>
      </c>
      <c r="DX12" s="74" t="s">
        <v>285</v>
      </c>
      <c r="DY12" s="413" t="s">
        <v>286</v>
      </c>
      <c r="DZ12" s="74" t="s">
        <v>287</v>
      </c>
      <c r="EA12" s="413" t="s">
        <v>264</v>
      </c>
      <c r="EB12" s="74" t="s">
        <v>265</v>
      </c>
      <c r="EC12" s="413" t="s">
        <v>266</v>
      </c>
      <c r="ED12" s="74" t="s">
        <v>267</v>
      </c>
      <c r="EE12" s="413" t="s">
        <v>268</v>
      </c>
      <c r="EF12" s="74" t="s">
        <v>269</v>
      </c>
      <c r="EG12" s="413" t="s">
        <v>270</v>
      </c>
      <c r="EH12" s="74" t="s">
        <v>271</v>
      </c>
      <c r="EI12" s="413" t="s">
        <v>272</v>
      </c>
      <c r="EJ12" s="74" t="s">
        <v>273</v>
      </c>
      <c r="EK12" s="413" t="s">
        <v>274</v>
      </c>
      <c r="EL12" s="74" t="s">
        <v>275</v>
      </c>
      <c r="EM12" s="413" t="s">
        <v>276</v>
      </c>
      <c r="EN12" s="414" t="s">
        <v>277</v>
      </c>
      <c r="EO12" s="415" t="s">
        <v>192</v>
      </c>
      <c r="EP12" s="421" t="s">
        <v>208</v>
      </c>
      <c r="EQ12" s="422" t="s">
        <v>209</v>
      </c>
      <c r="ER12" s="423" t="s">
        <v>210</v>
      </c>
      <c r="ES12" s="414" t="s">
        <v>211</v>
      </c>
      <c r="ET12" s="668"/>
      <c r="EU12" s="668"/>
      <c r="EV12" s="663"/>
      <c r="EW12" s="672"/>
      <c r="EX12" s="663"/>
      <c r="EY12" s="707"/>
      <c r="EZ12" s="683"/>
      <c r="FA12" s="683"/>
      <c r="FB12" s="683"/>
      <c r="FC12" s="704"/>
    </row>
    <row r="13" spans="1:160" s="1" customFormat="1" ht="270.75" customHeight="1" thickBot="1" x14ac:dyDescent="0.25">
      <c r="A13" s="646">
        <v>5</v>
      </c>
      <c r="B13" s="647">
        <v>56</v>
      </c>
      <c r="C13" s="647">
        <v>524</v>
      </c>
      <c r="D13" s="647" t="s">
        <v>259</v>
      </c>
      <c r="E13" s="647">
        <v>573</v>
      </c>
      <c r="F13" s="647" t="s">
        <v>260</v>
      </c>
      <c r="G13" s="647" t="s">
        <v>261</v>
      </c>
      <c r="H13" s="647" t="s">
        <v>262</v>
      </c>
      <c r="I13" s="400">
        <f>AC13+BG13+CK13+DN13+DP13</f>
        <v>0.99999999999999989</v>
      </c>
      <c r="J13" s="401">
        <v>0.11</v>
      </c>
      <c r="K13" s="401">
        <v>0.11</v>
      </c>
      <c r="L13" s="402">
        <v>0</v>
      </c>
      <c r="M13" s="401">
        <v>0.11</v>
      </c>
      <c r="N13" s="402">
        <v>0</v>
      </c>
      <c r="O13" s="401" t="s">
        <v>288</v>
      </c>
      <c r="P13" s="403">
        <v>0.02</v>
      </c>
      <c r="Q13" s="404">
        <v>0.11</v>
      </c>
      <c r="R13" s="403">
        <v>0.04</v>
      </c>
      <c r="S13" s="401">
        <v>0.11</v>
      </c>
      <c r="T13" s="403">
        <v>7.0000000000000007E-2</v>
      </c>
      <c r="U13" s="401">
        <f>S13</f>
        <v>0.11</v>
      </c>
      <c r="V13" s="403">
        <f>0.09</f>
        <v>0.09</v>
      </c>
      <c r="W13" s="405">
        <v>0.11</v>
      </c>
      <c r="X13" s="403">
        <v>0.11</v>
      </c>
      <c r="Y13" s="648">
        <v>0.11</v>
      </c>
      <c r="Z13" s="405">
        <f>+Y13</f>
        <v>0.11</v>
      </c>
      <c r="AA13" s="405">
        <f>+X13</f>
        <v>0.11</v>
      </c>
      <c r="AB13" s="405">
        <f>+AA13</f>
        <v>0.11</v>
      </c>
      <c r="AC13" s="405">
        <f>+AA13</f>
        <v>0.11</v>
      </c>
      <c r="AD13" s="405">
        <v>0.25</v>
      </c>
      <c r="AE13" s="405">
        <v>0.01</v>
      </c>
      <c r="AF13" s="405">
        <v>0.01</v>
      </c>
      <c r="AG13" s="405">
        <v>0.01</v>
      </c>
      <c r="AH13" s="405">
        <v>0.01</v>
      </c>
      <c r="AI13" s="405">
        <v>0.01</v>
      </c>
      <c r="AJ13" s="405">
        <v>0.01</v>
      </c>
      <c r="AK13" s="405">
        <v>1E-3</v>
      </c>
      <c r="AL13" s="405">
        <v>1E-3</v>
      </c>
      <c r="AM13" s="405">
        <v>2.5908496693434105E-2</v>
      </c>
      <c r="AN13" s="405">
        <v>2.5908496693434105E-2</v>
      </c>
      <c r="AO13" s="405">
        <v>3.0443215635333018E-2</v>
      </c>
      <c r="AP13" s="405">
        <v>3.0443215635333018E-2</v>
      </c>
      <c r="AQ13" s="405">
        <v>3.0443215635333004E-2</v>
      </c>
      <c r="AR13" s="405">
        <v>3.0443215635333004E-2</v>
      </c>
      <c r="AS13" s="405">
        <v>3.0443215635333004E-2</v>
      </c>
      <c r="AT13" s="405">
        <v>3.0443215635333004E-2</v>
      </c>
      <c r="AU13" s="405">
        <v>3.0443215635333004E-2</v>
      </c>
      <c r="AV13" s="405">
        <v>3.0443215635333004E-2</v>
      </c>
      <c r="AW13" s="405">
        <v>2.9000000000000001E-2</v>
      </c>
      <c r="AX13" s="405">
        <v>0.03</v>
      </c>
      <c r="AY13" s="405">
        <v>2.1000000000000001E-2</v>
      </c>
      <c r="AZ13" s="405">
        <v>2.3E-2</v>
      </c>
      <c r="BA13" s="405">
        <v>2.1000000000000001E-2</v>
      </c>
      <c r="BB13" s="405">
        <v>1.67E-2</v>
      </c>
      <c r="BC13" s="405">
        <f>+BA13+AY13+AW13+AU13+AS13+AQ13+AO13+AM13+AK13+AI13+AG13+AE13</f>
        <v>0.24968135923476614</v>
      </c>
      <c r="BD13" s="649">
        <f>+AE13+AG13+AI13+AK13+AM13+AO13+AQ13+AS13+AU13+AW13+AY13+BA13</f>
        <v>0.24968135923476611</v>
      </c>
      <c r="BE13" s="649">
        <f>+AF13+AH13+AJ13+AL13+AN13+AP13+AR13+AT13+AV13+AX13+AZ13+BB13</f>
        <v>0.24838135923476612</v>
      </c>
      <c r="BF13" s="649">
        <f>+BC13</f>
        <v>0.24968135923476614</v>
      </c>
      <c r="BG13" s="650">
        <f>0.24</f>
        <v>0.24</v>
      </c>
      <c r="BH13" s="650">
        <v>0.25</v>
      </c>
      <c r="BI13" s="650">
        <v>0.01</v>
      </c>
      <c r="BJ13" s="650">
        <v>0.01</v>
      </c>
      <c r="BK13" s="650">
        <v>0.02</v>
      </c>
      <c r="BL13" s="650">
        <v>0.01</v>
      </c>
      <c r="BM13" s="650">
        <v>2.0000000000000004E-2</v>
      </c>
      <c r="BN13" s="650">
        <v>0.02</v>
      </c>
      <c r="BO13" s="650">
        <v>2.0000000000000004E-2</v>
      </c>
      <c r="BP13" s="650">
        <v>0.02</v>
      </c>
      <c r="BQ13" s="650">
        <v>2.0000000000000004E-2</v>
      </c>
      <c r="BR13" s="650">
        <v>2.0000000000000004E-2</v>
      </c>
      <c r="BS13" s="650">
        <v>2.0000000000000004E-2</v>
      </c>
      <c r="BT13" s="650">
        <v>0.02</v>
      </c>
      <c r="BU13" s="650">
        <v>3.0000000000000013E-2</v>
      </c>
      <c r="BV13" s="650">
        <v>0.02</v>
      </c>
      <c r="BW13" s="650">
        <v>1.999999999999999E-2</v>
      </c>
      <c r="BX13" s="650">
        <v>0.01</v>
      </c>
      <c r="BY13" s="650">
        <v>0.03</v>
      </c>
      <c r="BZ13" s="650">
        <v>0.03</v>
      </c>
      <c r="CA13" s="650">
        <v>1.999999999999999E-2</v>
      </c>
      <c r="CB13" s="650">
        <v>0.02</v>
      </c>
      <c r="CC13" s="650">
        <v>3.2000000000000001E-2</v>
      </c>
      <c r="CD13" s="650">
        <v>0.04</v>
      </c>
      <c r="CE13" s="650">
        <v>8.0000000000000002E-3</v>
      </c>
      <c r="CF13" s="651">
        <v>0.02</v>
      </c>
      <c r="CG13" s="650">
        <f>+CE13+CC13+CA13+BY13+BW13+BU13+BS13+BQ13+BO13+BM13+BK13+BI13</f>
        <v>0.25000000000000006</v>
      </c>
      <c r="CH13" s="650">
        <f>+BI13+BK13+BM13+BO13+BQ13+BS13+BU13+BW13+BY13+CA13+CC13+CE13</f>
        <v>0.25</v>
      </c>
      <c r="CI13" s="650">
        <f>+BJ13+BL13+BN13+BP13+BR13+BT13+BV13+BX13+BZ13+CB13+CD13+CF13</f>
        <v>0.24</v>
      </c>
      <c r="CJ13" s="650">
        <f>+CG13</f>
        <v>0.25000000000000006</v>
      </c>
      <c r="CK13" s="650">
        <f>+CI13</f>
        <v>0.24</v>
      </c>
      <c r="CL13" s="650">
        <v>0.27</v>
      </c>
      <c r="CM13" s="650">
        <v>0</v>
      </c>
      <c r="CN13" s="650">
        <v>0</v>
      </c>
      <c r="CO13" s="650">
        <v>0.01</v>
      </c>
      <c r="CP13" s="650">
        <v>0.01</v>
      </c>
      <c r="CQ13" s="650">
        <v>0.03</v>
      </c>
      <c r="CR13" s="650">
        <v>0.03</v>
      </c>
      <c r="CS13" s="650">
        <v>0.03</v>
      </c>
      <c r="CT13" s="650">
        <v>0.04</v>
      </c>
      <c r="CU13" s="652">
        <v>0.03</v>
      </c>
      <c r="CV13" s="652">
        <v>0.03</v>
      </c>
      <c r="CW13" s="652">
        <v>0.03</v>
      </c>
      <c r="CX13" s="650">
        <v>0.03</v>
      </c>
      <c r="CY13" s="652">
        <v>0.02</v>
      </c>
      <c r="CZ13" s="652">
        <v>0.02</v>
      </c>
      <c r="DA13" s="650">
        <v>0.03</v>
      </c>
      <c r="DB13" s="650">
        <v>0.02</v>
      </c>
      <c r="DC13" s="652">
        <v>0.02</v>
      </c>
      <c r="DD13" s="652">
        <v>0.02</v>
      </c>
      <c r="DE13" s="650">
        <v>0.02</v>
      </c>
      <c r="DF13" s="650">
        <v>0.03</v>
      </c>
      <c r="DG13" s="652">
        <v>0.03</v>
      </c>
      <c r="DH13" s="652">
        <v>0.02</v>
      </c>
      <c r="DI13" s="652">
        <v>0.02</v>
      </c>
      <c r="DJ13" s="652">
        <v>0.02</v>
      </c>
      <c r="DK13" s="406">
        <f>+CM13+CO13+CQ13+CS13+CU13+CW13+CY13+DA13+DC13+DE13+DG13+DI13</f>
        <v>0.26999999999999996</v>
      </c>
      <c r="DL13" s="406">
        <f>+CM13+CO13+CQ13+CS13+CU13+CW13+CY13+DA13+DC13+DE13+DG13+DI13</f>
        <v>0.26999999999999996</v>
      </c>
      <c r="DM13" s="406">
        <f>+CN13+CP13+CR13+CT13+CV13+CX13+CZ13+DB13+DD13+DF13+DH13+DJ13</f>
        <v>0.26999999999999996</v>
      </c>
      <c r="DN13" s="406">
        <f>+CM13+CO13+CQ13+CS13+CU13+CW13+CY13+DA13+DC13+DE13+DG13+DI13</f>
        <v>0.26999999999999996</v>
      </c>
      <c r="DO13" s="406">
        <f>+CN13+CP13+CR13+CT13+CV13+CX13+CZ13+DB13+DD13+DF13+DH13+DJ13</f>
        <v>0.26999999999999996</v>
      </c>
      <c r="DP13" s="650">
        <v>0.14000000000000001</v>
      </c>
      <c r="DQ13" s="653"/>
      <c r="DR13" s="653"/>
      <c r="DS13" s="653"/>
      <c r="DT13" s="653"/>
      <c r="DU13" s="653"/>
      <c r="DV13" s="653"/>
      <c r="DW13" s="653"/>
      <c r="DX13" s="653"/>
      <c r="DY13" s="653"/>
      <c r="DZ13" s="653"/>
      <c r="EA13" s="653"/>
      <c r="EB13" s="653"/>
      <c r="EC13" s="653"/>
      <c r="ED13" s="653"/>
      <c r="EE13" s="653"/>
      <c r="EF13" s="653"/>
      <c r="EG13" s="653"/>
      <c r="EH13" s="653"/>
      <c r="EI13" s="653"/>
      <c r="EJ13" s="653"/>
      <c r="EK13" s="653"/>
      <c r="EL13" s="653"/>
      <c r="EM13" s="653"/>
      <c r="EN13" s="653"/>
      <c r="EO13" s="653"/>
      <c r="EP13" s="653"/>
      <c r="EQ13" s="653"/>
      <c r="ER13" s="653"/>
      <c r="ES13" s="653"/>
      <c r="ET13" s="407">
        <f>DJ13/DI13</f>
        <v>1</v>
      </c>
      <c r="EU13" s="407">
        <f>DM13/DL13</f>
        <v>1</v>
      </c>
      <c r="EV13" s="408">
        <f>DO13/DN13</f>
        <v>1</v>
      </c>
      <c r="EW13" s="407">
        <f>(AC13+BG13+CK13+DM13)/(AB13+BF13+CJ13+DL13)</f>
        <v>0.97762671786988076</v>
      </c>
      <c r="EX13" s="408">
        <f>(BG13+AC13+CK13+DO13)/I13</f>
        <v>0.86</v>
      </c>
      <c r="EY13" s="654" t="s">
        <v>532</v>
      </c>
      <c r="EZ13" s="655" t="str">
        <f>+INVERSIÓN!EX10</f>
        <v>Se generó una reserva acumulada de  165 procesos en el mes de diciembre, en la etapa de proyección y  revisión por dificultad en la intervención Juridica.</v>
      </c>
      <c r="FA13" s="655" t="str">
        <f>+INVERSIÓN!EY10</f>
        <v xml:space="preserve">Se generara plan de choque para el mes de enero 2024 priorizando las revisiónes, aprobaciones y firmas de los procesos pendientes.
</v>
      </c>
      <c r="FB13" s="656" t="s">
        <v>289</v>
      </c>
      <c r="FC13" s="657" t="s">
        <v>534</v>
      </c>
      <c r="FD13" s="54"/>
    </row>
    <row r="14" spans="1:160" s="23" customFormat="1" ht="25.7" customHeight="1" x14ac:dyDescent="0.25">
      <c r="A14" s="53"/>
      <c r="B14" s="53"/>
      <c r="C14" s="54"/>
      <c r="D14" s="55"/>
      <c r="F14" s="56"/>
      <c r="G14" s="57"/>
      <c r="H14" s="58"/>
      <c r="I14" s="54"/>
      <c r="J14" s="54"/>
      <c r="K14" s="54"/>
      <c r="L14" s="54"/>
      <c r="M14" s="54"/>
      <c r="N14" s="54"/>
      <c r="O14" s="54"/>
      <c r="P14" s="54"/>
      <c r="Q14" s="54"/>
      <c r="R14" s="54"/>
      <c r="S14" s="54"/>
      <c r="T14" s="54"/>
      <c r="U14" s="54"/>
      <c r="V14" s="59"/>
      <c r="W14" s="54"/>
      <c r="X14" s="59"/>
      <c r="Y14" s="54"/>
      <c r="Z14" s="54"/>
      <c r="AA14" s="54"/>
      <c r="AB14" s="54"/>
      <c r="AC14" s="59"/>
      <c r="AD14" s="82"/>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65"/>
      <c r="BD14" s="65"/>
      <c r="BE14" s="65"/>
      <c r="BF14" s="65"/>
      <c r="BG14" s="59"/>
      <c r="BH14" s="66"/>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236"/>
      <c r="CI14" s="59"/>
      <c r="CJ14" s="59"/>
      <c r="CK14" s="59"/>
      <c r="CL14" s="60"/>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60"/>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67"/>
      <c r="EU14" s="67"/>
      <c r="EV14" s="68"/>
      <c r="EW14" s="69"/>
      <c r="EX14" s="69"/>
      <c r="EY14" s="61"/>
      <c r="EZ14" s="62"/>
      <c r="FA14" s="62"/>
      <c r="FB14" s="63"/>
      <c r="FC14" s="64"/>
    </row>
    <row r="15" spans="1:160" ht="25.5" customHeight="1" x14ac:dyDescent="0.4">
      <c r="D15" s="12" t="s">
        <v>34</v>
      </c>
      <c r="Y15" s="44"/>
      <c r="Z15" s="42"/>
      <c r="AA15" s="43"/>
      <c r="AC15" s="42"/>
      <c r="AV15" s="49"/>
      <c r="AW15" s="49"/>
      <c r="AX15" s="49"/>
      <c r="AY15" s="49"/>
      <c r="AZ15" s="49"/>
      <c r="BA15" s="49"/>
      <c r="BB15" s="49"/>
      <c r="BC15" s="49"/>
      <c r="BD15" s="49"/>
      <c r="BE15" s="49"/>
      <c r="BF15" s="49"/>
      <c r="BG15" s="49"/>
      <c r="BU15" s="179"/>
      <c r="BV15" s="179"/>
      <c r="BZ15" s="42"/>
      <c r="CK15" s="237"/>
      <c r="EY15" s="183"/>
    </row>
    <row r="16" spans="1:160" ht="25.7" customHeight="1" x14ac:dyDescent="0.25">
      <c r="D16" s="228" t="s">
        <v>35</v>
      </c>
      <c r="E16" s="710" t="s">
        <v>36</v>
      </c>
      <c r="F16" s="711"/>
      <c r="G16" s="711"/>
      <c r="H16" s="711"/>
      <c r="I16" s="711"/>
      <c r="J16" s="711"/>
      <c r="K16" s="712"/>
      <c r="L16" s="713" t="s">
        <v>37</v>
      </c>
      <c r="M16" s="714"/>
      <c r="N16" s="714"/>
      <c r="O16" s="714"/>
      <c r="P16" s="714"/>
      <c r="Q16" s="714"/>
      <c r="R16" s="715"/>
      <c r="AC16" s="49"/>
    </row>
    <row r="17" spans="4:18" ht="25.7" customHeight="1" x14ac:dyDescent="0.25">
      <c r="D17" s="229">
        <v>13</v>
      </c>
      <c r="E17" s="716" t="s">
        <v>89</v>
      </c>
      <c r="F17" s="716"/>
      <c r="G17" s="716"/>
      <c r="H17" s="716"/>
      <c r="I17" s="716"/>
      <c r="J17" s="716"/>
      <c r="K17" s="716"/>
      <c r="L17" s="716" t="s">
        <v>80</v>
      </c>
      <c r="M17" s="716"/>
      <c r="N17" s="716"/>
      <c r="O17" s="716"/>
      <c r="P17" s="716"/>
      <c r="Q17" s="716"/>
      <c r="R17" s="716"/>
    </row>
    <row r="18" spans="4:18" ht="25.7" customHeight="1" x14ac:dyDescent="0.25">
      <c r="D18" s="229">
        <v>14</v>
      </c>
      <c r="E18" s="716" t="s">
        <v>258</v>
      </c>
      <c r="F18" s="716"/>
      <c r="G18" s="716"/>
      <c r="H18" s="716"/>
      <c r="I18" s="716"/>
      <c r="J18" s="716"/>
      <c r="K18" s="716"/>
      <c r="L18" s="717" t="s">
        <v>333</v>
      </c>
      <c r="M18" s="717"/>
      <c r="N18" s="717"/>
      <c r="O18" s="717"/>
      <c r="P18" s="717"/>
      <c r="Q18" s="717"/>
      <c r="R18" s="717"/>
    </row>
  </sheetData>
  <sheetProtection formatCells="0" formatColumns="0" formatRows="0" insertHyperlinks="0" sort="0" autoFilter="0" pivotTables="0"/>
  <mergeCells count="37">
    <mergeCell ref="E16:K16"/>
    <mergeCell ref="L16:R16"/>
    <mergeCell ref="E17:K17"/>
    <mergeCell ref="L17:R17"/>
    <mergeCell ref="E18:K18"/>
    <mergeCell ref="L18:R18"/>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A10:I10"/>
    <mergeCell ref="A11:I11"/>
    <mergeCell ref="EV10:EV12"/>
    <mergeCell ref="EX10:EX12"/>
    <mergeCell ref="DP11:ES11"/>
    <mergeCell ref="ET10:ET12"/>
    <mergeCell ref="EU10:EU12"/>
    <mergeCell ref="J11:AC11"/>
    <mergeCell ref="AD11:BG11"/>
    <mergeCell ref="EW10:EW12"/>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39"/>
  <sheetViews>
    <sheetView zoomScale="62" zoomScaleNormal="62" zoomScaleSheetLayoutView="40" zoomScalePageLayoutView="73" workbookViewId="0">
      <selection activeCell="G15" sqref="G15"/>
    </sheetView>
  </sheetViews>
  <sheetFormatPr baseColWidth="10" defaultColWidth="25" defaultRowHeight="28.7" customHeight="1" x14ac:dyDescent="0.25"/>
  <cols>
    <col min="1" max="1" width="13.5703125" customWidth="1"/>
    <col min="2" max="2" width="5.7109375" customWidth="1"/>
    <col min="3" max="3" width="26.42578125" customWidth="1"/>
    <col min="4" max="4" width="9.140625" style="4" customWidth="1"/>
    <col min="5" max="5" width="22.140625" style="4" customWidth="1"/>
    <col min="6" max="6" width="16.5703125" style="176" customWidth="1"/>
    <col min="7" max="7" width="23.28515625" style="5" customWidth="1"/>
    <col min="8" max="25" width="25" style="5" hidden="1" customWidth="1"/>
    <col min="26" max="26" width="23.7109375" style="5" customWidth="1"/>
    <col min="27" max="27" width="20.5703125" style="5" customWidth="1"/>
    <col min="28" max="53" width="25" style="5" hidden="1" customWidth="1"/>
    <col min="54" max="54" width="20.5703125" style="5" hidden="1" customWidth="1"/>
    <col min="55" max="55" width="21.28515625" style="5" hidden="1" customWidth="1"/>
    <col min="56" max="56" width="18.28515625" style="5" customWidth="1"/>
    <col min="57" max="57" width="19.5703125" style="5" customWidth="1"/>
    <col min="58" max="58" width="24.7109375" style="5" hidden="1" customWidth="1"/>
    <col min="59" max="80" width="25" style="5" hidden="1" customWidth="1"/>
    <col min="81" max="81" width="19.42578125" style="5" hidden="1" customWidth="1"/>
    <col min="82" max="82" width="21" style="5" hidden="1" customWidth="1"/>
    <col min="83" max="85" width="25" style="5" hidden="1" customWidth="1"/>
    <col min="86" max="87" width="20.7109375" style="5" customWidth="1"/>
    <col min="88" max="88" width="22" style="196" customWidth="1"/>
    <col min="89" max="90" width="17.7109375" style="196" customWidth="1"/>
    <col min="91" max="91" width="18.140625" style="196" customWidth="1"/>
    <col min="92" max="92" width="18" style="196" customWidth="1"/>
    <col min="93" max="94" width="19.28515625" style="196" customWidth="1"/>
    <col min="95" max="95" width="19.28515625" style="5" customWidth="1"/>
    <col min="96" max="96" width="13.7109375" style="5" customWidth="1"/>
    <col min="97" max="97" width="14.42578125" style="5" customWidth="1"/>
    <col min="98" max="98" width="15.140625" style="5" customWidth="1"/>
    <col min="99" max="100" width="18.42578125" style="5" customWidth="1"/>
    <col min="101" max="101" width="16.5703125" style="5" customWidth="1"/>
    <col min="102" max="102" width="19.28515625" style="5" customWidth="1"/>
    <col min="103" max="103" width="18.140625" style="5" customWidth="1"/>
    <col min="104" max="104" width="16.140625" style="5" customWidth="1"/>
    <col min="105" max="105" width="20" style="5" customWidth="1"/>
    <col min="106" max="110" width="18" style="5" customWidth="1"/>
    <col min="111" max="111" width="20.5703125" style="5" customWidth="1"/>
    <col min="112" max="112" width="19.28515625" style="5" customWidth="1"/>
    <col min="113" max="113" width="18" style="5" customWidth="1"/>
    <col min="114" max="114" width="22.7109375" style="5" customWidth="1"/>
    <col min="115" max="115" width="19.85546875" style="5" customWidth="1"/>
    <col min="116" max="116" width="21" style="5" customWidth="1"/>
    <col min="117" max="117" width="20.140625" style="5" customWidth="1"/>
    <col min="118" max="118" width="19.7109375" style="5" customWidth="1"/>
    <col min="119" max="147" width="25" style="5" hidden="1" customWidth="1"/>
    <col min="148" max="149" width="22.5703125" style="7" customWidth="1"/>
    <col min="150" max="152" width="22.5703125" customWidth="1"/>
    <col min="153" max="153" width="52" customWidth="1"/>
    <col min="154" max="154" width="23.140625" customWidth="1"/>
    <col min="155" max="155" width="23.42578125" customWidth="1"/>
    <col min="156" max="157" width="46.7109375" customWidth="1"/>
    <col min="158" max="158" width="25" customWidth="1"/>
  </cols>
  <sheetData>
    <row r="1" spans="1:157" s="10" customFormat="1" ht="28.7" customHeight="1" x14ac:dyDescent="0.5">
      <c r="A1" s="761"/>
      <c r="B1" s="762"/>
      <c r="C1" s="762"/>
      <c r="D1" s="762"/>
      <c r="E1" s="763"/>
      <c r="F1" s="779" t="s">
        <v>38</v>
      </c>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779"/>
      <c r="AN1" s="779"/>
      <c r="AO1" s="779"/>
      <c r="AP1" s="779"/>
      <c r="AQ1" s="779"/>
      <c r="AR1" s="779"/>
      <c r="AS1" s="779"/>
      <c r="AT1" s="779"/>
      <c r="AU1" s="779"/>
      <c r="AV1" s="779"/>
      <c r="AW1" s="779"/>
      <c r="AX1" s="779"/>
      <c r="AY1" s="779"/>
      <c r="AZ1" s="779"/>
      <c r="BA1" s="779"/>
      <c r="BB1" s="779"/>
      <c r="BC1" s="779"/>
      <c r="BD1" s="779"/>
      <c r="BE1" s="779"/>
      <c r="BF1" s="779"/>
      <c r="BG1" s="779"/>
      <c r="BH1" s="779"/>
      <c r="BI1" s="779"/>
      <c r="BJ1" s="779"/>
      <c r="BK1" s="779"/>
      <c r="BL1" s="779"/>
      <c r="BM1" s="779"/>
      <c r="BN1" s="779"/>
      <c r="BO1" s="779"/>
      <c r="BP1" s="779"/>
      <c r="BQ1" s="779"/>
      <c r="BR1" s="779"/>
      <c r="BS1" s="779"/>
      <c r="BT1" s="779"/>
      <c r="BU1" s="779"/>
      <c r="BV1" s="779"/>
      <c r="BW1" s="779"/>
      <c r="BX1" s="779"/>
      <c r="BY1" s="779"/>
      <c r="BZ1" s="779"/>
      <c r="CA1" s="779"/>
      <c r="CB1" s="779"/>
      <c r="CC1" s="779"/>
      <c r="CD1" s="779"/>
      <c r="CE1" s="779"/>
      <c r="CF1" s="779"/>
      <c r="CG1" s="779"/>
      <c r="CH1" s="779"/>
      <c r="CI1" s="779"/>
      <c r="CJ1" s="780"/>
      <c r="CK1" s="780"/>
      <c r="CL1" s="780"/>
      <c r="CM1" s="780"/>
      <c r="CN1" s="780"/>
      <c r="CO1" s="780"/>
      <c r="CP1" s="780"/>
      <c r="CQ1" s="779"/>
      <c r="CR1" s="779"/>
      <c r="CS1" s="779"/>
      <c r="CT1" s="779"/>
      <c r="CU1" s="779"/>
      <c r="CV1" s="779"/>
      <c r="CW1" s="779"/>
      <c r="CX1" s="779"/>
      <c r="CY1" s="779"/>
      <c r="CZ1" s="779"/>
      <c r="DA1" s="779"/>
      <c r="DB1" s="779"/>
      <c r="DC1" s="779"/>
      <c r="DD1" s="779"/>
      <c r="DE1" s="779"/>
      <c r="DF1" s="779"/>
      <c r="DG1" s="779"/>
      <c r="DH1" s="779"/>
      <c r="DI1" s="779"/>
      <c r="DJ1" s="779"/>
      <c r="DK1" s="779"/>
      <c r="DL1" s="779"/>
      <c r="DM1" s="779"/>
      <c r="DN1" s="779"/>
      <c r="DO1" s="779"/>
      <c r="DP1" s="779"/>
      <c r="DQ1" s="779"/>
      <c r="DR1" s="779"/>
      <c r="DS1" s="779"/>
      <c r="DT1" s="779"/>
      <c r="DU1" s="779"/>
      <c r="DV1" s="779"/>
      <c r="DW1" s="779"/>
      <c r="DX1" s="779"/>
      <c r="DY1" s="779"/>
      <c r="DZ1" s="779"/>
      <c r="EA1" s="779"/>
      <c r="EB1" s="779"/>
      <c r="EC1" s="779"/>
      <c r="ED1" s="779"/>
      <c r="EE1" s="779"/>
      <c r="EF1" s="779"/>
      <c r="EG1" s="779"/>
      <c r="EH1" s="779"/>
      <c r="EI1" s="779"/>
      <c r="EJ1" s="779"/>
      <c r="EK1" s="779"/>
      <c r="EL1" s="779"/>
      <c r="EM1" s="779"/>
      <c r="EN1" s="779"/>
      <c r="EO1" s="779"/>
      <c r="EP1" s="779"/>
      <c r="EQ1" s="779"/>
      <c r="ER1" s="779"/>
      <c r="ES1" s="779"/>
      <c r="ET1" s="779"/>
      <c r="EU1" s="779"/>
      <c r="EV1" s="779"/>
      <c r="EW1" s="779"/>
      <c r="EX1" s="779"/>
      <c r="EY1" s="779"/>
      <c r="EZ1" s="779"/>
      <c r="FA1" s="781"/>
    </row>
    <row r="2" spans="1:157" s="10" customFormat="1" ht="45" customHeight="1" thickBot="1" x14ac:dyDescent="0.55000000000000004">
      <c r="A2" s="764"/>
      <c r="B2" s="765"/>
      <c r="C2" s="765"/>
      <c r="D2" s="765"/>
      <c r="E2" s="766"/>
      <c r="F2" s="782" t="s">
        <v>255</v>
      </c>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c r="AT2" s="782"/>
      <c r="AU2" s="782"/>
      <c r="AV2" s="782"/>
      <c r="AW2" s="782"/>
      <c r="AX2" s="782"/>
      <c r="AY2" s="782"/>
      <c r="AZ2" s="782"/>
      <c r="BA2" s="782"/>
      <c r="BB2" s="782"/>
      <c r="BC2" s="782"/>
      <c r="BD2" s="782"/>
      <c r="BE2" s="782"/>
      <c r="BF2" s="782"/>
      <c r="BG2" s="782"/>
      <c r="BH2" s="782"/>
      <c r="BI2" s="782"/>
      <c r="BJ2" s="782"/>
      <c r="BK2" s="782"/>
      <c r="BL2" s="782"/>
      <c r="BM2" s="782"/>
      <c r="BN2" s="782"/>
      <c r="BO2" s="782"/>
      <c r="BP2" s="782"/>
      <c r="BQ2" s="782"/>
      <c r="BR2" s="782"/>
      <c r="BS2" s="782"/>
      <c r="BT2" s="782"/>
      <c r="BU2" s="782"/>
      <c r="BV2" s="782"/>
      <c r="BW2" s="782"/>
      <c r="BX2" s="782"/>
      <c r="BY2" s="782"/>
      <c r="BZ2" s="782"/>
      <c r="CA2" s="782"/>
      <c r="CB2" s="782"/>
      <c r="CC2" s="782"/>
      <c r="CD2" s="782"/>
      <c r="CE2" s="782"/>
      <c r="CF2" s="782"/>
      <c r="CG2" s="782"/>
      <c r="CH2" s="782"/>
      <c r="CI2" s="782"/>
      <c r="CJ2" s="783"/>
      <c r="CK2" s="783"/>
      <c r="CL2" s="783"/>
      <c r="CM2" s="783"/>
      <c r="CN2" s="783"/>
      <c r="CO2" s="783"/>
      <c r="CP2" s="783"/>
      <c r="CQ2" s="782"/>
      <c r="CR2" s="782"/>
      <c r="CS2" s="782"/>
      <c r="CT2" s="782"/>
      <c r="CU2" s="782"/>
      <c r="CV2" s="782"/>
      <c r="CW2" s="782"/>
      <c r="CX2" s="782"/>
      <c r="CY2" s="782"/>
      <c r="CZ2" s="782"/>
      <c r="DA2" s="782"/>
      <c r="DB2" s="782"/>
      <c r="DC2" s="782"/>
      <c r="DD2" s="782"/>
      <c r="DE2" s="782"/>
      <c r="DF2" s="782"/>
      <c r="DG2" s="782"/>
      <c r="DH2" s="782"/>
      <c r="DI2" s="782"/>
      <c r="DJ2" s="782"/>
      <c r="DK2" s="782"/>
      <c r="DL2" s="782"/>
      <c r="DM2" s="782"/>
      <c r="DN2" s="782"/>
      <c r="DO2" s="782"/>
      <c r="DP2" s="782"/>
      <c r="DQ2" s="782"/>
      <c r="DR2" s="782"/>
      <c r="DS2" s="782"/>
      <c r="DT2" s="782"/>
      <c r="DU2" s="782"/>
      <c r="DV2" s="782"/>
      <c r="DW2" s="782"/>
      <c r="DX2" s="782"/>
      <c r="DY2" s="782"/>
      <c r="DZ2" s="782"/>
      <c r="EA2" s="782"/>
      <c r="EB2" s="782"/>
      <c r="EC2" s="782"/>
      <c r="ED2" s="782"/>
      <c r="EE2" s="782"/>
      <c r="EF2" s="782"/>
      <c r="EG2" s="782"/>
      <c r="EH2" s="782"/>
      <c r="EI2" s="782"/>
      <c r="EJ2" s="782"/>
      <c r="EK2" s="782"/>
      <c r="EL2" s="782"/>
      <c r="EM2" s="782"/>
      <c r="EN2" s="782"/>
      <c r="EO2" s="782"/>
      <c r="EP2" s="782"/>
      <c r="EQ2" s="782"/>
      <c r="ER2" s="784"/>
      <c r="ES2" s="784"/>
      <c r="ET2" s="784"/>
      <c r="EU2" s="784"/>
      <c r="EV2" s="784"/>
      <c r="EW2" s="784"/>
      <c r="EX2" s="784"/>
      <c r="EY2" s="784"/>
      <c r="EZ2" s="784"/>
      <c r="FA2" s="785"/>
    </row>
    <row r="3" spans="1:157" s="9" customFormat="1" ht="28.7" customHeight="1" thickBot="1" x14ac:dyDescent="0.45">
      <c r="A3" s="767"/>
      <c r="B3" s="768"/>
      <c r="C3" s="768"/>
      <c r="D3" s="768"/>
      <c r="E3" s="769"/>
      <c r="F3" s="786" t="s">
        <v>47</v>
      </c>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c r="AQ3" s="787"/>
      <c r="AR3" s="787"/>
      <c r="AS3" s="787"/>
      <c r="AT3" s="787"/>
      <c r="AU3" s="787"/>
      <c r="AV3" s="787"/>
      <c r="AW3" s="787"/>
      <c r="AX3" s="787"/>
      <c r="AY3" s="787"/>
      <c r="AZ3" s="787"/>
      <c r="BA3" s="787"/>
      <c r="BB3" s="787"/>
      <c r="BC3" s="787"/>
      <c r="BD3" s="787"/>
      <c r="BE3" s="787"/>
      <c r="BF3" s="787"/>
      <c r="BG3" s="787"/>
      <c r="BH3" s="787"/>
      <c r="BI3" s="787"/>
      <c r="BJ3" s="787"/>
      <c r="BK3" s="787"/>
      <c r="BL3" s="787"/>
      <c r="BM3" s="787"/>
      <c r="BN3" s="787"/>
      <c r="BO3" s="787"/>
      <c r="BP3" s="787"/>
      <c r="BQ3" s="787"/>
      <c r="BR3" s="787"/>
      <c r="BS3" s="787"/>
      <c r="BT3" s="787"/>
      <c r="BU3" s="787"/>
      <c r="BV3" s="787"/>
      <c r="BW3" s="787"/>
      <c r="BX3" s="787"/>
      <c r="BY3" s="787"/>
      <c r="BZ3" s="787"/>
      <c r="CA3" s="787"/>
      <c r="CB3" s="787"/>
      <c r="CC3" s="787"/>
      <c r="CD3" s="787"/>
      <c r="CE3" s="787"/>
      <c r="CF3" s="787"/>
      <c r="CG3" s="787"/>
      <c r="CH3" s="787"/>
      <c r="CI3" s="787"/>
      <c r="CJ3" s="788"/>
      <c r="CK3" s="788"/>
      <c r="CL3" s="788"/>
      <c r="CM3" s="788"/>
      <c r="CN3" s="788"/>
      <c r="CO3" s="788"/>
      <c r="CP3" s="788"/>
      <c r="CQ3" s="787"/>
      <c r="CR3" s="787"/>
      <c r="CS3" s="787"/>
      <c r="CT3" s="787"/>
      <c r="CU3" s="787"/>
      <c r="CV3" s="787"/>
      <c r="CW3" s="787"/>
      <c r="CX3" s="787"/>
      <c r="CY3" s="787"/>
      <c r="CZ3" s="787"/>
      <c r="DA3" s="787"/>
      <c r="DB3" s="787"/>
      <c r="DC3" s="787"/>
      <c r="DD3" s="787"/>
      <c r="DE3" s="787"/>
      <c r="DF3" s="787"/>
      <c r="DG3" s="787"/>
      <c r="DH3" s="787"/>
      <c r="DI3" s="787"/>
      <c r="DJ3" s="787"/>
      <c r="DK3" s="787"/>
      <c r="DL3" s="787"/>
      <c r="DM3" s="787"/>
      <c r="DN3" s="787"/>
      <c r="DO3" s="787"/>
      <c r="DP3" s="787"/>
      <c r="DQ3" s="787"/>
      <c r="DR3" s="787"/>
      <c r="DS3" s="787"/>
      <c r="DT3" s="787"/>
      <c r="DU3" s="787"/>
      <c r="DV3" s="787"/>
      <c r="DW3" s="787"/>
      <c r="DX3" s="787"/>
      <c r="DY3" s="787"/>
      <c r="DZ3" s="787"/>
      <c r="EA3" s="787"/>
      <c r="EB3" s="787"/>
      <c r="EC3" s="787"/>
      <c r="ED3" s="787"/>
      <c r="EE3" s="787"/>
      <c r="EF3" s="787"/>
      <c r="EG3" s="787"/>
      <c r="EH3" s="787"/>
      <c r="EI3" s="787"/>
      <c r="EJ3" s="787"/>
      <c r="EK3" s="787"/>
      <c r="EL3" s="787"/>
      <c r="EM3" s="787"/>
      <c r="EN3" s="787"/>
      <c r="EO3" s="787"/>
      <c r="EP3" s="787"/>
      <c r="EQ3" s="787"/>
      <c r="ER3" s="787" t="s">
        <v>236</v>
      </c>
      <c r="ES3" s="787"/>
      <c r="ET3" s="787"/>
      <c r="EU3" s="787"/>
      <c r="EV3" s="787"/>
      <c r="EW3" s="787"/>
      <c r="EX3" s="787"/>
      <c r="EY3" s="787"/>
      <c r="EZ3" s="787"/>
      <c r="FA3" s="792"/>
    </row>
    <row r="4" spans="1:157" ht="28.7" customHeight="1" thickBot="1" x14ac:dyDescent="0.3">
      <c r="A4" s="770" t="s">
        <v>0</v>
      </c>
      <c r="B4" s="771"/>
      <c r="C4" s="771"/>
      <c r="D4" s="771"/>
      <c r="E4" s="772"/>
      <c r="F4" s="675" t="s">
        <v>294</v>
      </c>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6"/>
      <c r="AO4" s="676"/>
      <c r="AP4" s="676"/>
      <c r="AQ4" s="676"/>
      <c r="AR4" s="676"/>
      <c r="AS4" s="676"/>
      <c r="AT4" s="676"/>
      <c r="AU4" s="676"/>
      <c r="AV4" s="676"/>
      <c r="AW4" s="676"/>
      <c r="AX4" s="676"/>
      <c r="AY4" s="676"/>
      <c r="AZ4" s="676"/>
      <c r="BA4" s="676"/>
      <c r="BB4" s="676"/>
      <c r="BC4" s="676"/>
      <c r="BD4" s="676"/>
      <c r="BE4" s="676"/>
      <c r="BF4" s="676"/>
      <c r="BG4" s="676"/>
      <c r="BH4" s="676"/>
      <c r="BI4" s="676"/>
      <c r="BJ4" s="676"/>
      <c r="BK4" s="676"/>
      <c r="BL4" s="676"/>
      <c r="BM4" s="676"/>
      <c r="BN4" s="676"/>
      <c r="BO4" s="676"/>
      <c r="BP4" s="676"/>
      <c r="BQ4" s="676"/>
      <c r="BR4" s="676"/>
      <c r="BS4" s="676"/>
      <c r="BT4" s="676"/>
      <c r="BU4" s="676"/>
      <c r="BV4" s="676"/>
      <c r="BW4" s="676"/>
      <c r="BX4" s="676"/>
      <c r="BY4" s="676"/>
      <c r="BZ4" s="676"/>
      <c r="CA4" s="676"/>
      <c r="CB4" s="676"/>
      <c r="CC4" s="676"/>
      <c r="CD4" s="676"/>
      <c r="CE4" s="676"/>
      <c r="CF4" s="676"/>
      <c r="CG4" s="676"/>
      <c r="CH4" s="676"/>
      <c r="CI4" s="676"/>
      <c r="CJ4" s="793"/>
      <c r="CK4" s="793"/>
      <c r="CL4" s="793"/>
      <c r="CM4" s="793"/>
      <c r="CN4" s="793"/>
      <c r="CO4" s="793"/>
      <c r="CP4" s="793"/>
      <c r="CQ4" s="676"/>
      <c r="CR4" s="676"/>
      <c r="CS4" s="676"/>
      <c r="CT4" s="676"/>
      <c r="CU4" s="676"/>
      <c r="CV4" s="676"/>
      <c r="CW4" s="676"/>
      <c r="CX4" s="676"/>
      <c r="CY4" s="676"/>
      <c r="CZ4" s="676"/>
      <c r="DA4" s="676"/>
      <c r="DB4" s="676"/>
      <c r="DC4" s="676"/>
      <c r="DD4" s="676"/>
      <c r="DE4" s="676"/>
      <c r="DF4" s="676"/>
      <c r="DG4" s="676"/>
      <c r="DH4" s="676"/>
      <c r="DI4" s="676"/>
      <c r="DJ4" s="676"/>
      <c r="DK4" s="676"/>
      <c r="DL4" s="676"/>
      <c r="DM4" s="676"/>
      <c r="DN4" s="676"/>
      <c r="DO4" s="676"/>
      <c r="DP4" s="676"/>
      <c r="DQ4" s="676"/>
      <c r="DR4" s="676"/>
      <c r="DS4" s="676"/>
      <c r="DT4" s="676"/>
      <c r="DU4" s="676"/>
      <c r="DV4" s="676"/>
      <c r="DW4" s="676"/>
      <c r="DX4" s="676"/>
      <c r="DY4" s="676"/>
      <c r="DZ4" s="676"/>
      <c r="EA4" s="676"/>
      <c r="EB4" s="676"/>
      <c r="EC4" s="676"/>
      <c r="ED4" s="676"/>
      <c r="EE4" s="676"/>
      <c r="EF4" s="676"/>
      <c r="EG4" s="676"/>
      <c r="EH4" s="676"/>
      <c r="EI4" s="676"/>
      <c r="EJ4" s="676"/>
      <c r="EK4" s="676"/>
      <c r="EL4" s="676"/>
      <c r="EM4" s="676"/>
      <c r="EN4" s="676"/>
      <c r="EO4" s="676"/>
      <c r="EP4" s="676"/>
      <c r="EQ4" s="676"/>
      <c r="ER4" s="676"/>
      <c r="ES4" s="676"/>
      <c r="ET4" s="676"/>
      <c r="EU4" s="676"/>
      <c r="EV4" s="676"/>
      <c r="EW4" s="676"/>
      <c r="EX4" s="676"/>
      <c r="EY4" s="676"/>
      <c r="EZ4" s="676"/>
      <c r="FA4" s="677"/>
    </row>
    <row r="5" spans="1:157" ht="42" customHeight="1" thickBot="1" x14ac:dyDescent="0.3">
      <c r="A5" s="770" t="s">
        <v>2</v>
      </c>
      <c r="B5" s="771"/>
      <c r="C5" s="771"/>
      <c r="D5" s="771"/>
      <c r="E5" s="772"/>
      <c r="F5" s="675" t="s">
        <v>331</v>
      </c>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c r="AM5" s="676"/>
      <c r="AN5" s="676"/>
      <c r="AO5" s="676"/>
      <c r="AP5" s="676"/>
      <c r="AQ5" s="676"/>
      <c r="AR5" s="676"/>
      <c r="AS5" s="676"/>
      <c r="AT5" s="676"/>
      <c r="AU5" s="676"/>
      <c r="AV5" s="676"/>
      <c r="AW5" s="676"/>
      <c r="AX5" s="676"/>
      <c r="AY5" s="676"/>
      <c r="AZ5" s="676"/>
      <c r="BA5" s="676"/>
      <c r="BB5" s="676"/>
      <c r="BC5" s="676"/>
      <c r="BD5" s="676"/>
      <c r="BE5" s="676"/>
      <c r="BF5" s="676"/>
      <c r="BG5" s="676"/>
      <c r="BH5" s="676"/>
      <c r="BI5" s="676"/>
      <c r="BJ5" s="676"/>
      <c r="BK5" s="676"/>
      <c r="BL5" s="676"/>
      <c r="BM5" s="676"/>
      <c r="BN5" s="676"/>
      <c r="BO5" s="676"/>
      <c r="BP5" s="676"/>
      <c r="BQ5" s="676"/>
      <c r="BR5" s="676"/>
      <c r="BS5" s="676"/>
      <c r="BT5" s="676"/>
      <c r="BU5" s="676"/>
      <c r="BV5" s="676"/>
      <c r="BW5" s="676"/>
      <c r="BX5" s="676"/>
      <c r="BY5" s="676"/>
      <c r="BZ5" s="676"/>
      <c r="CA5" s="676"/>
      <c r="CB5" s="676"/>
      <c r="CC5" s="676"/>
      <c r="CD5" s="676"/>
      <c r="CE5" s="676"/>
      <c r="CF5" s="676"/>
      <c r="CG5" s="676"/>
      <c r="CH5" s="676"/>
      <c r="CI5" s="676"/>
      <c r="CJ5" s="793"/>
      <c r="CK5" s="793"/>
      <c r="CL5" s="793"/>
      <c r="CM5" s="793"/>
      <c r="CN5" s="793"/>
      <c r="CO5" s="793"/>
      <c r="CP5" s="793"/>
      <c r="CQ5" s="676"/>
      <c r="CR5" s="676"/>
      <c r="CS5" s="676"/>
      <c r="CT5" s="676"/>
      <c r="CU5" s="676"/>
      <c r="CV5" s="676"/>
      <c r="CW5" s="676"/>
      <c r="CX5" s="676"/>
      <c r="CY5" s="676"/>
      <c r="CZ5" s="676"/>
      <c r="DA5" s="676"/>
      <c r="DB5" s="676"/>
      <c r="DC5" s="676"/>
      <c r="DD5" s="676"/>
      <c r="DE5" s="676"/>
      <c r="DF5" s="676"/>
      <c r="DG5" s="676"/>
      <c r="DH5" s="676"/>
      <c r="DI5" s="676"/>
      <c r="DJ5" s="676"/>
      <c r="DK5" s="676"/>
      <c r="DL5" s="676"/>
      <c r="DM5" s="676"/>
      <c r="DN5" s="676"/>
      <c r="DO5" s="676"/>
      <c r="DP5" s="676"/>
      <c r="DQ5" s="676"/>
      <c r="DR5" s="676"/>
      <c r="DS5" s="676"/>
      <c r="DT5" s="676"/>
      <c r="DU5" s="676"/>
      <c r="DV5" s="676"/>
      <c r="DW5" s="676"/>
      <c r="DX5" s="676"/>
      <c r="DY5" s="676"/>
      <c r="DZ5" s="676"/>
      <c r="EA5" s="676"/>
      <c r="EB5" s="676"/>
      <c r="EC5" s="676"/>
      <c r="ED5" s="676"/>
      <c r="EE5" s="676"/>
      <c r="EF5" s="676"/>
      <c r="EG5" s="676"/>
      <c r="EH5" s="676"/>
      <c r="EI5" s="676"/>
      <c r="EJ5" s="676"/>
      <c r="EK5" s="676"/>
      <c r="EL5" s="676"/>
      <c r="EM5" s="676"/>
      <c r="EN5" s="676"/>
      <c r="EO5" s="676"/>
      <c r="EP5" s="676"/>
      <c r="EQ5" s="676"/>
      <c r="ER5" s="676"/>
      <c r="ES5" s="676"/>
      <c r="ET5" s="676"/>
      <c r="EU5" s="676"/>
      <c r="EV5" s="676"/>
      <c r="EW5" s="676"/>
      <c r="EX5" s="676"/>
      <c r="EY5" s="676"/>
      <c r="EZ5" s="676"/>
      <c r="FA5" s="677"/>
    </row>
    <row r="6" spans="1:157" ht="28.7" customHeight="1" thickBot="1" x14ac:dyDescent="0.3">
      <c r="A6" s="2"/>
      <c r="B6" s="2"/>
      <c r="C6" s="2"/>
      <c r="D6" s="13"/>
      <c r="E6" s="13"/>
      <c r="F6" s="173"/>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242"/>
      <c r="CJ6" s="193"/>
      <c r="CK6" s="193"/>
      <c r="CL6" s="193"/>
      <c r="CM6" s="193"/>
      <c r="CN6" s="193"/>
      <c r="CO6" s="193"/>
      <c r="CP6" s="193"/>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5"/>
      <c r="ES6" s="15"/>
      <c r="ET6" s="2"/>
      <c r="EU6" s="2"/>
      <c r="EV6" s="2"/>
      <c r="EW6" s="2"/>
      <c r="EX6" s="2"/>
      <c r="EY6" s="2"/>
      <c r="EZ6" s="2"/>
      <c r="FA6" s="2"/>
    </row>
    <row r="7" spans="1:157" s="8" customFormat="1" ht="28.7" customHeight="1" thickBot="1" x14ac:dyDescent="0.3">
      <c r="A7" s="773" t="s">
        <v>88</v>
      </c>
      <c r="B7" s="774"/>
      <c r="C7" s="774"/>
      <c r="D7" s="774"/>
      <c r="E7" s="774"/>
      <c r="F7" s="774"/>
      <c r="G7" s="775"/>
      <c r="H7" s="789" t="s">
        <v>202</v>
      </c>
      <c r="I7" s="789"/>
      <c r="J7" s="789"/>
      <c r="K7" s="789"/>
      <c r="L7" s="789"/>
      <c r="M7" s="789"/>
      <c r="N7" s="789"/>
      <c r="O7" s="789"/>
      <c r="P7" s="789"/>
      <c r="Q7" s="789"/>
      <c r="R7" s="789"/>
      <c r="S7" s="789"/>
      <c r="T7" s="789"/>
      <c r="U7" s="790"/>
      <c r="V7" s="790"/>
      <c r="W7" s="790"/>
      <c r="X7" s="790"/>
      <c r="Y7" s="790"/>
      <c r="Z7" s="790"/>
      <c r="AA7" s="790"/>
      <c r="AB7" s="790"/>
      <c r="AC7" s="790"/>
      <c r="AD7" s="790"/>
      <c r="AE7" s="790"/>
      <c r="AF7" s="790"/>
      <c r="AG7" s="790"/>
      <c r="AH7" s="790"/>
      <c r="AI7" s="790"/>
      <c r="AJ7" s="790"/>
      <c r="AK7" s="790"/>
      <c r="AL7" s="790"/>
      <c r="AM7" s="790"/>
      <c r="AN7" s="790"/>
      <c r="AO7" s="790"/>
      <c r="AP7" s="790"/>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0"/>
      <c r="BZ7" s="790"/>
      <c r="CA7" s="790"/>
      <c r="CB7" s="790"/>
      <c r="CC7" s="790"/>
      <c r="CD7" s="790"/>
      <c r="CE7" s="790"/>
      <c r="CF7" s="790"/>
      <c r="CG7" s="790"/>
      <c r="CH7" s="790"/>
      <c r="CI7" s="790"/>
      <c r="CJ7" s="791"/>
      <c r="CK7" s="791"/>
      <c r="CL7" s="791"/>
      <c r="CM7" s="791"/>
      <c r="CN7" s="791"/>
      <c r="CO7" s="791"/>
      <c r="CP7" s="791"/>
      <c r="CQ7" s="790"/>
      <c r="CR7" s="790"/>
      <c r="CS7" s="790"/>
      <c r="CT7" s="790"/>
      <c r="CU7" s="790"/>
      <c r="CV7" s="790"/>
      <c r="CW7" s="790"/>
      <c r="CX7" s="790"/>
      <c r="CY7" s="790"/>
      <c r="CZ7" s="790"/>
      <c r="DA7" s="790"/>
      <c r="DB7" s="790"/>
      <c r="DC7" s="790"/>
      <c r="DD7" s="790"/>
      <c r="DE7" s="790"/>
      <c r="DF7" s="790"/>
      <c r="DG7" s="790"/>
      <c r="DH7" s="790"/>
      <c r="DI7" s="790"/>
      <c r="DJ7" s="790"/>
      <c r="DK7" s="790"/>
      <c r="DL7" s="790"/>
      <c r="DM7" s="790"/>
      <c r="DN7" s="790"/>
      <c r="DO7" s="790"/>
      <c r="DP7" s="790"/>
      <c r="DQ7" s="790"/>
      <c r="DR7" s="790"/>
      <c r="DS7" s="790"/>
      <c r="DT7" s="790"/>
      <c r="DU7" s="790"/>
      <c r="DV7" s="790"/>
      <c r="DW7" s="790"/>
      <c r="DX7" s="790"/>
      <c r="DY7" s="790"/>
      <c r="DZ7" s="790"/>
      <c r="EA7" s="790"/>
      <c r="EB7" s="790"/>
      <c r="EC7" s="790"/>
      <c r="ED7" s="790"/>
      <c r="EE7" s="790"/>
      <c r="EF7" s="790"/>
      <c r="EG7" s="790"/>
      <c r="EH7" s="790"/>
      <c r="EI7" s="790"/>
      <c r="EJ7" s="790"/>
      <c r="EK7" s="790"/>
      <c r="EL7" s="790"/>
      <c r="EM7" s="790"/>
      <c r="EN7" s="790"/>
      <c r="EO7" s="790"/>
      <c r="EP7" s="790"/>
      <c r="EQ7" s="790"/>
      <c r="ER7" s="666" t="s">
        <v>195</v>
      </c>
      <c r="ES7" s="666" t="s">
        <v>196</v>
      </c>
      <c r="ET7" s="661" t="s">
        <v>197</v>
      </c>
      <c r="EU7" s="670" t="s">
        <v>243</v>
      </c>
      <c r="EV7" s="661" t="s">
        <v>244</v>
      </c>
      <c r="EW7" s="802" t="s">
        <v>245</v>
      </c>
      <c r="EX7" s="681" t="s">
        <v>246</v>
      </c>
      <c r="EY7" s="681" t="s">
        <v>247</v>
      </c>
      <c r="EZ7" s="681" t="s">
        <v>249</v>
      </c>
      <c r="FA7" s="702" t="s">
        <v>248</v>
      </c>
    </row>
    <row r="8" spans="1:157" s="8" customFormat="1" ht="28.7" customHeight="1" thickBot="1" x14ac:dyDescent="0.3">
      <c r="A8" s="776"/>
      <c r="B8" s="777"/>
      <c r="C8" s="777"/>
      <c r="D8" s="777"/>
      <c r="E8" s="777"/>
      <c r="F8" s="777"/>
      <c r="G8" s="778"/>
      <c r="H8" s="665" t="s">
        <v>64</v>
      </c>
      <c r="I8" s="665"/>
      <c r="J8" s="665"/>
      <c r="K8" s="665"/>
      <c r="L8" s="665"/>
      <c r="M8" s="665"/>
      <c r="N8" s="665"/>
      <c r="O8" s="665"/>
      <c r="P8" s="665"/>
      <c r="Q8" s="665"/>
      <c r="R8" s="665"/>
      <c r="S8" s="665"/>
      <c r="T8" s="665"/>
      <c r="U8" s="665"/>
      <c r="V8" s="665"/>
      <c r="W8" s="665"/>
      <c r="X8" s="665"/>
      <c r="Y8" s="665"/>
      <c r="Z8" s="665"/>
      <c r="AA8" s="669"/>
      <c r="AB8" s="664" t="s">
        <v>256</v>
      </c>
      <c r="AC8" s="665"/>
      <c r="AD8" s="665"/>
      <c r="AE8" s="665"/>
      <c r="AF8" s="665"/>
      <c r="AG8" s="665"/>
      <c r="AH8" s="665"/>
      <c r="AI8" s="665"/>
      <c r="AJ8" s="665"/>
      <c r="AK8" s="665"/>
      <c r="AL8" s="665"/>
      <c r="AM8" s="665"/>
      <c r="AN8" s="665"/>
      <c r="AO8" s="665"/>
      <c r="AP8" s="665"/>
      <c r="AQ8" s="665"/>
      <c r="AR8" s="665"/>
      <c r="AS8" s="665"/>
      <c r="AT8" s="665"/>
      <c r="AU8" s="665"/>
      <c r="AV8" s="665"/>
      <c r="AW8" s="665"/>
      <c r="AX8" s="665"/>
      <c r="AY8" s="665"/>
      <c r="AZ8" s="665"/>
      <c r="BA8" s="665"/>
      <c r="BB8" s="665"/>
      <c r="BC8" s="665"/>
      <c r="BD8" s="665"/>
      <c r="BE8" s="669"/>
      <c r="BF8" s="664" t="s">
        <v>61</v>
      </c>
      <c r="BG8" s="665"/>
      <c r="BH8" s="665"/>
      <c r="BI8" s="665"/>
      <c r="BJ8" s="665"/>
      <c r="BK8" s="665"/>
      <c r="BL8" s="665"/>
      <c r="BM8" s="665"/>
      <c r="BN8" s="665"/>
      <c r="BO8" s="665"/>
      <c r="BP8" s="665"/>
      <c r="BQ8" s="665"/>
      <c r="BR8" s="665"/>
      <c r="BS8" s="665"/>
      <c r="BT8" s="665"/>
      <c r="BU8" s="665"/>
      <c r="BV8" s="665"/>
      <c r="BW8" s="665"/>
      <c r="BX8" s="665"/>
      <c r="BY8" s="665"/>
      <c r="BZ8" s="665"/>
      <c r="CA8" s="665"/>
      <c r="CB8" s="665"/>
      <c r="CC8" s="665"/>
      <c r="CD8" s="665"/>
      <c r="CE8" s="665"/>
      <c r="CF8" s="665"/>
      <c r="CG8" s="665"/>
      <c r="CH8" s="665"/>
      <c r="CI8" s="669"/>
      <c r="CJ8" s="800" t="s">
        <v>62</v>
      </c>
      <c r="CK8" s="801"/>
      <c r="CL8" s="801"/>
      <c r="CM8" s="801"/>
      <c r="CN8" s="801"/>
      <c r="CO8" s="801"/>
      <c r="CP8" s="801"/>
      <c r="CQ8" s="665"/>
      <c r="CR8" s="665"/>
      <c r="CS8" s="665"/>
      <c r="CT8" s="665"/>
      <c r="CU8" s="665"/>
      <c r="CV8" s="665"/>
      <c r="CW8" s="665"/>
      <c r="CX8" s="665"/>
      <c r="CY8" s="665"/>
      <c r="CZ8" s="665"/>
      <c r="DA8" s="665"/>
      <c r="DB8" s="665"/>
      <c r="DC8" s="665"/>
      <c r="DD8" s="665"/>
      <c r="DE8" s="665"/>
      <c r="DF8" s="665"/>
      <c r="DG8" s="665"/>
      <c r="DH8" s="665"/>
      <c r="DI8" s="665"/>
      <c r="DJ8" s="665"/>
      <c r="DK8" s="665"/>
      <c r="DL8" s="665"/>
      <c r="DM8" s="669"/>
      <c r="DN8" s="797" t="s">
        <v>63</v>
      </c>
      <c r="DO8" s="798"/>
      <c r="DP8" s="798"/>
      <c r="DQ8" s="798"/>
      <c r="DR8" s="798"/>
      <c r="DS8" s="798"/>
      <c r="DT8" s="798"/>
      <c r="DU8" s="798"/>
      <c r="DV8" s="798"/>
      <c r="DW8" s="798"/>
      <c r="DX8" s="798"/>
      <c r="DY8" s="798"/>
      <c r="DZ8" s="798"/>
      <c r="EA8" s="798"/>
      <c r="EB8" s="798"/>
      <c r="EC8" s="798"/>
      <c r="ED8" s="798"/>
      <c r="EE8" s="798"/>
      <c r="EF8" s="798"/>
      <c r="EG8" s="799"/>
      <c r="EH8" s="799"/>
      <c r="EI8" s="799"/>
      <c r="EJ8" s="799"/>
      <c r="EK8" s="799"/>
      <c r="EL8" s="799"/>
      <c r="EM8" s="799"/>
      <c r="EN8" s="799"/>
      <c r="EO8" s="799"/>
      <c r="EP8" s="799"/>
      <c r="EQ8" s="799"/>
      <c r="ER8" s="667"/>
      <c r="ES8" s="667"/>
      <c r="ET8" s="662"/>
      <c r="EU8" s="671"/>
      <c r="EV8" s="662"/>
      <c r="EW8" s="803"/>
      <c r="EX8" s="795"/>
      <c r="EY8" s="795"/>
      <c r="EZ8" s="795"/>
      <c r="FA8" s="703"/>
    </row>
    <row r="9" spans="1:157" s="204" customFormat="1" ht="73.5" customHeight="1" thickBot="1" x14ac:dyDescent="0.3">
      <c r="A9" s="424" t="s">
        <v>81</v>
      </c>
      <c r="B9" s="425" t="s">
        <v>82</v>
      </c>
      <c r="C9" s="198" t="s">
        <v>83</v>
      </c>
      <c r="D9" s="73" t="s">
        <v>84</v>
      </c>
      <c r="E9" s="74" t="s">
        <v>85</v>
      </c>
      <c r="F9" s="238" t="s">
        <v>86</v>
      </c>
      <c r="G9" s="256" t="s">
        <v>87</v>
      </c>
      <c r="H9" s="114" t="s">
        <v>212</v>
      </c>
      <c r="I9" s="115" t="s">
        <v>184</v>
      </c>
      <c r="J9" s="116" t="s">
        <v>193</v>
      </c>
      <c r="K9" s="115" t="s">
        <v>185</v>
      </c>
      <c r="L9" s="116" t="s">
        <v>57</v>
      </c>
      <c r="M9" s="115" t="s">
        <v>186</v>
      </c>
      <c r="N9" s="116" t="s">
        <v>58</v>
      </c>
      <c r="O9" s="115" t="s">
        <v>187</v>
      </c>
      <c r="P9" s="116" t="s">
        <v>59</v>
      </c>
      <c r="Q9" s="115" t="s">
        <v>188</v>
      </c>
      <c r="R9" s="116" t="s">
        <v>60</v>
      </c>
      <c r="S9" s="115" t="s">
        <v>189</v>
      </c>
      <c r="T9" s="116" t="s">
        <v>50</v>
      </c>
      <c r="U9" s="115" t="s">
        <v>190</v>
      </c>
      <c r="V9" s="117" t="s">
        <v>194</v>
      </c>
      <c r="W9" s="72" t="s">
        <v>192</v>
      </c>
      <c r="X9" s="70" t="s">
        <v>250</v>
      </c>
      <c r="Y9" s="71" t="s">
        <v>251</v>
      </c>
      <c r="Z9" s="199" t="s">
        <v>252</v>
      </c>
      <c r="AA9" s="200" t="s">
        <v>253</v>
      </c>
      <c r="AB9" s="114" t="s">
        <v>212</v>
      </c>
      <c r="AC9" s="115" t="s">
        <v>179</v>
      </c>
      <c r="AD9" s="116" t="s">
        <v>51</v>
      </c>
      <c r="AE9" s="115" t="s">
        <v>180</v>
      </c>
      <c r="AF9" s="116" t="s">
        <v>52</v>
      </c>
      <c r="AG9" s="115" t="s">
        <v>181</v>
      </c>
      <c r="AH9" s="116" t="s">
        <v>53</v>
      </c>
      <c r="AI9" s="115" t="s">
        <v>182</v>
      </c>
      <c r="AJ9" s="116" t="s">
        <v>54</v>
      </c>
      <c r="AK9" s="115" t="s">
        <v>183</v>
      </c>
      <c r="AL9" s="116" t="s">
        <v>56</v>
      </c>
      <c r="AM9" s="115" t="s">
        <v>184</v>
      </c>
      <c r="AN9" s="116" t="s">
        <v>193</v>
      </c>
      <c r="AO9" s="115" t="s">
        <v>185</v>
      </c>
      <c r="AP9" s="116" t="s">
        <v>57</v>
      </c>
      <c r="AQ9" s="115" t="s">
        <v>186</v>
      </c>
      <c r="AR9" s="116" t="s">
        <v>58</v>
      </c>
      <c r="AS9" s="115" t="s">
        <v>187</v>
      </c>
      <c r="AT9" s="116" t="s">
        <v>59</v>
      </c>
      <c r="AU9" s="115" t="s">
        <v>188</v>
      </c>
      <c r="AV9" s="116" t="s">
        <v>60</v>
      </c>
      <c r="AW9" s="115" t="s">
        <v>189</v>
      </c>
      <c r="AX9" s="116" t="s">
        <v>50</v>
      </c>
      <c r="AY9" s="115" t="s">
        <v>190</v>
      </c>
      <c r="AZ9" s="117" t="s">
        <v>194</v>
      </c>
      <c r="BA9" s="72" t="s">
        <v>192</v>
      </c>
      <c r="BB9" s="70" t="s">
        <v>242</v>
      </c>
      <c r="BC9" s="71" t="s">
        <v>241</v>
      </c>
      <c r="BD9" s="199" t="s">
        <v>240</v>
      </c>
      <c r="BE9" s="200" t="s">
        <v>239</v>
      </c>
      <c r="BF9" s="114" t="s">
        <v>212</v>
      </c>
      <c r="BG9" s="118" t="s">
        <v>213</v>
      </c>
      <c r="BH9" s="119" t="s">
        <v>214</v>
      </c>
      <c r="BI9" s="118" t="s">
        <v>215</v>
      </c>
      <c r="BJ9" s="119" t="s">
        <v>216</v>
      </c>
      <c r="BK9" s="118" t="s">
        <v>217</v>
      </c>
      <c r="BL9" s="119" t="s">
        <v>218</v>
      </c>
      <c r="BM9" s="118" t="s">
        <v>238</v>
      </c>
      <c r="BN9" s="119" t="s">
        <v>235</v>
      </c>
      <c r="BO9" s="118" t="s">
        <v>219</v>
      </c>
      <c r="BP9" s="119" t="s">
        <v>220</v>
      </c>
      <c r="BQ9" s="118" t="s">
        <v>221</v>
      </c>
      <c r="BR9" s="119" t="s">
        <v>222</v>
      </c>
      <c r="BS9" s="118" t="s">
        <v>223</v>
      </c>
      <c r="BT9" s="119" t="s">
        <v>224</v>
      </c>
      <c r="BU9" s="118" t="s">
        <v>225</v>
      </c>
      <c r="BV9" s="119" t="s">
        <v>226</v>
      </c>
      <c r="BW9" s="118" t="s">
        <v>227</v>
      </c>
      <c r="BX9" s="119" t="s">
        <v>228</v>
      </c>
      <c r="BY9" s="118" t="s">
        <v>229</v>
      </c>
      <c r="BZ9" s="119" t="s">
        <v>230</v>
      </c>
      <c r="CA9" s="118" t="s">
        <v>231</v>
      </c>
      <c r="CB9" s="119" t="s">
        <v>232</v>
      </c>
      <c r="CC9" s="118" t="s">
        <v>233</v>
      </c>
      <c r="CD9" s="120" t="s">
        <v>234</v>
      </c>
      <c r="CE9" s="72" t="s">
        <v>192</v>
      </c>
      <c r="CF9" s="70" t="s">
        <v>198</v>
      </c>
      <c r="CG9" s="71" t="s">
        <v>199</v>
      </c>
      <c r="CH9" s="199" t="s">
        <v>200</v>
      </c>
      <c r="CI9" s="200" t="s">
        <v>201</v>
      </c>
      <c r="CJ9" s="201" t="s">
        <v>395</v>
      </c>
      <c r="CK9" s="202" t="s">
        <v>396</v>
      </c>
      <c r="CL9" s="203" t="s">
        <v>397</v>
      </c>
      <c r="CM9" s="202" t="s">
        <v>398</v>
      </c>
      <c r="CN9" s="203" t="s">
        <v>399</v>
      </c>
      <c r="CO9" s="202" t="s">
        <v>400</v>
      </c>
      <c r="CP9" s="203" t="s">
        <v>401</v>
      </c>
      <c r="CQ9" s="202" t="s">
        <v>402</v>
      </c>
      <c r="CR9" s="203" t="s">
        <v>403</v>
      </c>
      <c r="CS9" s="202" t="s">
        <v>404</v>
      </c>
      <c r="CT9" s="203" t="s">
        <v>405</v>
      </c>
      <c r="CU9" s="202" t="s">
        <v>406</v>
      </c>
      <c r="CV9" s="203" t="s">
        <v>407</v>
      </c>
      <c r="CW9" s="202" t="s">
        <v>408</v>
      </c>
      <c r="CX9" s="203" t="s">
        <v>409</v>
      </c>
      <c r="CY9" s="202" t="s">
        <v>410</v>
      </c>
      <c r="CZ9" s="203" t="s">
        <v>411</v>
      </c>
      <c r="DA9" s="202" t="s">
        <v>412</v>
      </c>
      <c r="DB9" s="203" t="s">
        <v>413</v>
      </c>
      <c r="DC9" s="202" t="s">
        <v>414</v>
      </c>
      <c r="DD9" s="203" t="s">
        <v>415</v>
      </c>
      <c r="DE9" s="202" t="s">
        <v>416</v>
      </c>
      <c r="DF9" s="203" t="s">
        <v>417</v>
      </c>
      <c r="DG9" s="202" t="s">
        <v>418</v>
      </c>
      <c r="DH9" s="119" t="s">
        <v>234</v>
      </c>
      <c r="DI9" s="498" t="s">
        <v>192</v>
      </c>
      <c r="DJ9" s="499" t="s">
        <v>204</v>
      </c>
      <c r="DK9" s="500" t="s">
        <v>205</v>
      </c>
      <c r="DL9" s="501" t="s">
        <v>206</v>
      </c>
      <c r="DM9" s="500" t="s">
        <v>207</v>
      </c>
      <c r="DN9" s="201" t="s">
        <v>395</v>
      </c>
      <c r="DO9" s="115" t="s">
        <v>179</v>
      </c>
      <c r="DP9" s="116" t="s">
        <v>51</v>
      </c>
      <c r="DQ9" s="115" t="s">
        <v>180</v>
      </c>
      <c r="DR9" s="116" t="s">
        <v>52</v>
      </c>
      <c r="DS9" s="115" t="s">
        <v>181</v>
      </c>
      <c r="DT9" s="116" t="s">
        <v>53</v>
      </c>
      <c r="DU9" s="115" t="s">
        <v>182</v>
      </c>
      <c r="DV9" s="116" t="s">
        <v>54</v>
      </c>
      <c r="DW9" s="115" t="s">
        <v>183</v>
      </c>
      <c r="DX9" s="116" t="s">
        <v>56</v>
      </c>
      <c r="DY9" s="115" t="s">
        <v>184</v>
      </c>
      <c r="DZ9" s="116" t="s">
        <v>193</v>
      </c>
      <c r="EA9" s="115" t="s">
        <v>185</v>
      </c>
      <c r="EB9" s="116" t="s">
        <v>57</v>
      </c>
      <c r="EC9" s="115" t="s">
        <v>186</v>
      </c>
      <c r="ED9" s="116" t="s">
        <v>58</v>
      </c>
      <c r="EE9" s="115" t="s">
        <v>187</v>
      </c>
      <c r="EF9" s="116" t="s">
        <v>59</v>
      </c>
      <c r="EG9" s="115" t="s">
        <v>188</v>
      </c>
      <c r="EH9" s="116" t="s">
        <v>60</v>
      </c>
      <c r="EI9" s="115" t="s">
        <v>189</v>
      </c>
      <c r="EJ9" s="116" t="s">
        <v>50</v>
      </c>
      <c r="EK9" s="115" t="s">
        <v>190</v>
      </c>
      <c r="EL9" s="116" t="s">
        <v>194</v>
      </c>
      <c r="EM9" s="121" t="s">
        <v>192</v>
      </c>
      <c r="EN9" s="50" t="s">
        <v>208</v>
      </c>
      <c r="EO9" s="51" t="s">
        <v>209</v>
      </c>
      <c r="EP9" s="52" t="s">
        <v>210</v>
      </c>
      <c r="EQ9" s="51" t="s">
        <v>211</v>
      </c>
      <c r="ER9" s="667"/>
      <c r="ES9" s="667"/>
      <c r="ET9" s="662"/>
      <c r="EU9" s="671"/>
      <c r="EV9" s="662"/>
      <c r="EW9" s="804"/>
      <c r="EX9" s="796"/>
      <c r="EY9" s="796"/>
      <c r="EZ9" s="796"/>
      <c r="FA9" s="794"/>
    </row>
    <row r="10" spans="1:157" s="212" customFormat="1" ht="28.7" customHeight="1" thickBot="1" x14ac:dyDescent="0.3">
      <c r="A10" s="738" t="s">
        <v>293</v>
      </c>
      <c r="B10" s="727">
        <v>1</v>
      </c>
      <c r="C10" s="748" t="s">
        <v>290</v>
      </c>
      <c r="D10" s="727" t="s">
        <v>262</v>
      </c>
      <c r="E10" s="727">
        <v>524</v>
      </c>
      <c r="F10" s="240" t="s">
        <v>40</v>
      </c>
      <c r="G10" s="603">
        <f>AA10+BE10+CI10+DL10+DN10</f>
        <v>18742</v>
      </c>
      <c r="H10" s="271">
        <v>500</v>
      </c>
      <c r="I10" s="271">
        <v>500</v>
      </c>
      <c r="J10" s="272">
        <v>0</v>
      </c>
      <c r="K10" s="271">
        <v>500</v>
      </c>
      <c r="L10" s="271">
        <v>500</v>
      </c>
      <c r="M10" s="271">
        <v>500</v>
      </c>
      <c r="N10" s="271">
        <v>144</v>
      </c>
      <c r="O10" s="271">
        <v>500</v>
      </c>
      <c r="P10" s="271">
        <v>299</v>
      </c>
      <c r="Q10" s="271">
        <v>500</v>
      </c>
      <c r="R10" s="271">
        <v>411</v>
      </c>
      <c r="S10" s="271">
        <v>500</v>
      </c>
      <c r="T10" s="271">
        <v>471</v>
      </c>
      <c r="U10" s="271">
        <v>500</v>
      </c>
      <c r="V10" s="271">
        <v>500</v>
      </c>
      <c r="W10" s="271">
        <f>+U10</f>
        <v>500</v>
      </c>
      <c r="X10" s="604">
        <f t="shared" ref="X10:Y13" si="0">+U10</f>
        <v>500</v>
      </c>
      <c r="Y10" s="604">
        <f t="shared" si="0"/>
        <v>500</v>
      </c>
      <c r="Z10" s="604">
        <f>+V10</f>
        <v>500</v>
      </c>
      <c r="AA10" s="604">
        <f>+V10</f>
        <v>500</v>
      </c>
      <c r="AB10" s="604">
        <v>2117</v>
      </c>
      <c r="AC10" s="605">
        <v>0</v>
      </c>
      <c r="AD10" s="605">
        <v>0</v>
      </c>
      <c r="AE10" s="604">
        <v>0</v>
      </c>
      <c r="AF10" s="604">
        <v>0</v>
      </c>
      <c r="AG10" s="604">
        <v>0</v>
      </c>
      <c r="AH10" s="604">
        <v>0</v>
      </c>
      <c r="AI10" s="604">
        <v>33</v>
      </c>
      <c r="AJ10" s="604">
        <v>33</v>
      </c>
      <c r="AK10" s="604">
        <v>201</v>
      </c>
      <c r="AL10" s="604">
        <v>202</v>
      </c>
      <c r="AM10" s="604">
        <v>264</v>
      </c>
      <c r="AN10" s="604">
        <v>264</v>
      </c>
      <c r="AO10" s="604">
        <v>264</v>
      </c>
      <c r="AP10" s="604">
        <v>264</v>
      </c>
      <c r="AQ10" s="604">
        <v>264</v>
      </c>
      <c r="AR10" s="604">
        <v>264</v>
      </c>
      <c r="AS10" s="604">
        <v>264</v>
      </c>
      <c r="AT10" s="606">
        <v>265</v>
      </c>
      <c r="AU10" s="604">
        <v>264</v>
      </c>
      <c r="AV10" s="604">
        <v>292</v>
      </c>
      <c r="AW10" s="604">
        <v>264</v>
      </c>
      <c r="AX10" s="604">
        <v>301</v>
      </c>
      <c r="AY10" s="604">
        <v>299</v>
      </c>
      <c r="AZ10" s="604">
        <f>2095-1885</f>
        <v>210</v>
      </c>
      <c r="BA10" s="604">
        <f>AY10+AW10+AU10+AS10+AO10+AM10+AK10+AI10+AG10+AE10+AQ10+AC10</f>
        <v>2117</v>
      </c>
      <c r="BB10" s="604">
        <f>+AE10+AG10+AI10+AK10+AC10+AM10+AO10+AQ10+AS10+AU10+AW10+AY10</f>
        <v>2117</v>
      </c>
      <c r="BC10" s="604">
        <f>AD10+AF10+AH10+AJ10+AL10+AN10+AP10+AR10+AT10+AV10+AX10+AZ10</f>
        <v>2095</v>
      </c>
      <c r="BD10" s="604">
        <f>+AC10+AE10+AG10+AI10+AK10+AM10+AO10+AQ10+AS10+AU10+AW10+AY10</f>
        <v>2117</v>
      </c>
      <c r="BE10" s="604">
        <f>+AD10+AF10+AH10+AJ10+AL10+AN10+AP10++AR10+AV10+AX10+AZ10+AT10</f>
        <v>2095</v>
      </c>
      <c r="BF10" s="604">
        <f>+BG10+BI10+BK10+BM10+BO10+BQ10+BS10+BU10+BW10+BY10+CA10+CC10</f>
        <v>7017</v>
      </c>
      <c r="BG10" s="604">
        <v>40</v>
      </c>
      <c r="BH10" s="604">
        <v>40</v>
      </c>
      <c r="BI10" s="604">
        <v>556</v>
      </c>
      <c r="BJ10" s="604">
        <v>324</v>
      </c>
      <c r="BK10" s="604">
        <v>555</v>
      </c>
      <c r="BL10" s="604">
        <f>271+254+173</f>
        <v>698</v>
      </c>
      <c r="BM10" s="604">
        <v>555</v>
      </c>
      <c r="BN10" s="604">
        <v>368</v>
      </c>
      <c r="BO10" s="604">
        <v>555</v>
      </c>
      <c r="BP10" s="604">
        <v>471</v>
      </c>
      <c r="BQ10" s="604">
        <v>755</v>
      </c>
      <c r="BR10" s="604">
        <v>403</v>
      </c>
      <c r="BS10" s="604">
        <v>829</v>
      </c>
      <c r="BT10" s="604">
        <v>543</v>
      </c>
      <c r="BU10" s="604">
        <v>829</v>
      </c>
      <c r="BV10" s="604">
        <v>47</v>
      </c>
      <c r="BW10" s="604">
        <v>829</v>
      </c>
      <c r="BX10" s="604">
        <v>35</v>
      </c>
      <c r="BY10" s="604">
        <v>829</v>
      </c>
      <c r="BZ10" s="604">
        <v>434</v>
      </c>
      <c r="CA10" s="604">
        <v>657</v>
      </c>
      <c r="CB10" s="604">
        <v>2342</v>
      </c>
      <c r="CC10" s="604">
        <v>28</v>
      </c>
      <c r="CD10" s="604">
        <v>741</v>
      </c>
      <c r="CE10" s="604">
        <f>CC10+CA10+BY10+BW10+BS10+BQ10+BO10+BM10+BK10+BI10+BU10+BG10</f>
        <v>7017</v>
      </c>
      <c r="CF10" s="604">
        <f>+BG10+BI10+BK10+BM10+BO10+BQ10+BS10+BU10+BW10+BY10+CA10</f>
        <v>6989</v>
      </c>
      <c r="CG10" s="604">
        <f>BH10+BJ10+BL10+BN10+BP10+BR10+BT10+BV10+BX10+BZ10+CB10+CD10</f>
        <v>6446</v>
      </c>
      <c r="CH10" s="604">
        <f>+BG10+BI10+BK10+BM10+BO10+BQ10+BS10+BU10+BW10+BY10+CA10+CC10</f>
        <v>7017</v>
      </c>
      <c r="CI10" s="604">
        <f>+BH10+BJ10+BL10+BN10+BP10+BR10+BT10++BV10+BZ10+CB10+CD10+BX10</f>
        <v>6446</v>
      </c>
      <c r="CJ10" s="604">
        <v>7217</v>
      </c>
      <c r="CK10" s="604">
        <v>0</v>
      </c>
      <c r="CL10" s="604">
        <v>0</v>
      </c>
      <c r="CM10" s="604">
        <v>47</v>
      </c>
      <c r="CN10" s="604">
        <v>47</v>
      </c>
      <c r="CO10" s="604">
        <v>367</v>
      </c>
      <c r="CP10" s="604">
        <v>367</v>
      </c>
      <c r="CQ10" s="604">
        <v>700</v>
      </c>
      <c r="CR10" s="604">
        <v>1103</v>
      </c>
      <c r="CS10" s="607">
        <v>830</v>
      </c>
      <c r="CT10" s="607">
        <v>929</v>
      </c>
      <c r="CU10" s="607">
        <v>830</v>
      </c>
      <c r="CV10" s="607">
        <v>925</v>
      </c>
      <c r="CW10" s="607">
        <v>830</v>
      </c>
      <c r="CX10" s="607">
        <v>842</v>
      </c>
      <c r="CY10" s="604">
        <v>830</v>
      </c>
      <c r="CZ10" s="604">
        <v>341</v>
      </c>
      <c r="DA10" s="607">
        <v>830</v>
      </c>
      <c r="DB10" s="607">
        <v>682</v>
      </c>
      <c r="DC10" s="604">
        <v>830</v>
      </c>
      <c r="DD10" s="604">
        <v>700</v>
      </c>
      <c r="DE10" s="607">
        <v>723</v>
      </c>
      <c r="DF10" s="607">
        <v>814</v>
      </c>
      <c r="DG10" s="607">
        <v>400</v>
      </c>
      <c r="DH10" s="608">
        <v>302</v>
      </c>
      <c r="DI10" s="609">
        <f>+CK10+CM10+CO10+CQ10+CS10+CU10+CW10+CY10+DA10+DC10+DE10+DG10</f>
        <v>7217</v>
      </c>
      <c r="DJ10" s="609">
        <f t="shared" ref="DJ10:DK13" si="1">+CK10+CM10+CO10+CQ10+CS10+CU10+CW10+CY10+DA10+DC10+DE10+DG10</f>
        <v>7217</v>
      </c>
      <c r="DK10" s="609">
        <f t="shared" si="1"/>
        <v>7052</v>
      </c>
      <c r="DL10" s="609">
        <f t="shared" ref="DL10:DM13" si="2">+CK10+CM10+CO10+CQ10+CS10+CU10+CW10+CY10+DA10+DC10+DE10+DG10</f>
        <v>7217</v>
      </c>
      <c r="DM10" s="609">
        <f t="shared" si="2"/>
        <v>7052</v>
      </c>
      <c r="DN10" s="609">
        <v>2484</v>
      </c>
      <c r="DO10" s="604"/>
      <c r="DP10" s="604"/>
      <c r="DQ10" s="604"/>
      <c r="DR10" s="604"/>
      <c r="DS10" s="604"/>
      <c r="DT10" s="604"/>
      <c r="DU10" s="604"/>
      <c r="DV10" s="604"/>
      <c r="DW10" s="604"/>
      <c r="DX10" s="604"/>
      <c r="DY10" s="604"/>
      <c r="DZ10" s="604"/>
      <c r="EA10" s="604"/>
      <c r="EB10" s="604"/>
      <c r="EC10" s="604"/>
      <c r="ED10" s="604"/>
      <c r="EE10" s="604"/>
      <c r="EF10" s="604"/>
      <c r="EG10" s="604"/>
      <c r="EH10" s="604"/>
      <c r="EI10" s="604"/>
      <c r="EJ10" s="604"/>
      <c r="EK10" s="604"/>
      <c r="EL10" s="604"/>
      <c r="EM10" s="604">
        <f>EK10+EI10+EG10+EE10+EA10+DY10+DW10+DU10+DS10+DQ10+DO10</f>
        <v>0</v>
      </c>
      <c r="EN10" s="604">
        <f>DO10+DQ10+DS10+DU10</f>
        <v>0</v>
      </c>
      <c r="EO10" s="604">
        <f>DP10+DR10+DT10+DV10</f>
        <v>0</v>
      </c>
      <c r="EP10" s="604">
        <f>EM10+CO10</f>
        <v>367</v>
      </c>
      <c r="EQ10" s="604">
        <f>EO10+CO10</f>
        <v>367</v>
      </c>
      <c r="ER10" s="273">
        <f>DF10/DE10</f>
        <v>1.1258644536652835</v>
      </c>
      <c r="ES10" s="274">
        <f>+DK10/DJ10</f>
        <v>0.97713731467368714</v>
      </c>
      <c r="ET10" s="275">
        <f>+DM10/DL10</f>
        <v>0.97713731467368714</v>
      </c>
      <c r="EU10" s="275">
        <f>+(AA10+BE10+CI10+DK10)/(Z10+BD10+CH10+DJ10)</f>
        <v>0.95501750637944338</v>
      </c>
      <c r="EV10" s="275">
        <f>(BE10+AA10+CI10+DM10)/G10</f>
        <v>0.85865969480311599</v>
      </c>
      <c r="EW10" s="759" t="s">
        <v>531</v>
      </c>
      <c r="EX10" s="809" t="s">
        <v>537</v>
      </c>
      <c r="EY10" s="809" t="s">
        <v>538</v>
      </c>
      <c r="EZ10" s="807" t="s">
        <v>308</v>
      </c>
      <c r="FA10" s="805" t="s">
        <v>534</v>
      </c>
    </row>
    <row r="11" spans="1:157" s="206" customFormat="1" ht="28.7" customHeight="1" thickBot="1" x14ac:dyDescent="0.3">
      <c r="A11" s="739"/>
      <c r="B11" s="727"/>
      <c r="C11" s="736"/>
      <c r="D11" s="727"/>
      <c r="E11" s="727"/>
      <c r="F11" s="205" t="s">
        <v>3</v>
      </c>
      <c r="G11" s="610">
        <f>AA11+BE11+CI11+DL11+DN11</f>
        <v>14368946936</v>
      </c>
      <c r="H11" s="610">
        <v>1160000000</v>
      </c>
      <c r="I11" s="610">
        <v>1160000000</v>
      </c>
      <c r="J11" s="610">
        <v>0</v>
      </c>
      <c r="K11" s="610">
        <v>1160000000</v>
      </c>
      <c r="L11" s="610">
        <v>1160000000</v>
      </c>
      <c r="M11" s="610">
        <v>1174000000</v>
      </c>
      <c r="N11" s="610">
        <v>263148000</v>
      </c>
      <c r="O11" s="610">
        <v>1174000000</v>
      </c>
      <c r="P11" s="610">
        <v>335916000</v>
      </c>
      <c r="Q11" s="610">
        <v>1174000000</v>
      </c>
      <c r="R11" s="610">
        <v>335916000</v>
      </c>
      <c r="S11" s="610">
        <v>1161283347</v>
      </c>
      <c r="T11" s="610">
        <v>335916000</v>
      </c>
      <c r="U11" s="610">
        <v>1161283347</v>
      </c>
      <c r="V11" s="610">
        <v>1132811347</v>
      </c>
      <c r="W11" s="610">
        <f>+U11</f>
        <v>1161283347</v>
      </c>
      <c r="X11" s="610">
        <f t="shared" si="0"/>
        <v>1161283347</v>
      </c>
      <c r="Y11" s="610">
        <f t="shared" si="0"/>
        <v>1132811347</v>
      </c>
      <c r="Z11" s="610">
        <f>+V11</f>
        <v>1132811347</v>
      </c>
      <c r="AA11" s="610">
        <f>+V11</f>
        <v>1132811347</v>
      </c>
      <c r="AB11" s="610">
        <v>1690702000</v>
      </c>
      <c r="AC11" s="610">
        <v>0</v>
      </c>
      <c r="AD11" s="610">
        <v>0</v>
      </c>
      <c r="AE11" s="610">
        <v>47879667</v>
      </c>
      <c r="AF11" s="610">
        <v>47879667</v>
      </c>
      <c r="AG11" s="610">
        <f>897439667-AE11</f>
        <v>849560000</v>
      </c>
      <c r="AH11" s="610">
        <v>849560000</v>
      </c>
      <c r="AI11" s="610">
        <f>1159543667-AG11-AE11</f>
        <v>262104000</v>
      </c>
      <c r="AJ11" s="610">
        <v>262104000</v>
      </c>
      <c r="AK11" s="610">
        <f>111040000+30942000</f>
        <v>141982000</v>
      </c>
      <c r="AL11" s="610">
        <f>1280769667-AJ11-AH11-AF11-AD11</f>
        <v>121226000</v>
      </c>
      <c r="AM11" s="610">
        <f>45056000+35844333</f>
        <v>80900333</v>
      </c>
      <c r="AN11" s="610">
        <v>75268333</v>
      </c>
      <c r="AO11" s="610">
        <f>28406000+36000000+64200000</f>
        <v>128606000</v>
      </c>
      <c r="AP11" s="610">
        <v>68255000</v>
      </c>
      <c r="AQ11" s="610">
        <v>0</v>
      </c>
      <c r="AR11" s="610">
        <v>8560000</v>
      </c>
      <c r="AS11" s="610">
        <f>35000000+137532000-73552234-23000000</f>
        <v>75979766</v>
      </c>
      <c r="AT11" s="610">
        <f>1508062000-AR11-AP11-AN11-AL11-AJ11-AH11-AF11-AD11</f>
        <v>75209000</v>
      </c>
      <c r="AU11" s="610">
        <v>0</v>
      </c>
      <c r="AV11" s="610">
        <f>1536222000-AT11-AR11-AP11-AN11-AL11-AJ11-AH11-AF11-AD11</f>
        <v>28160000</v>
      </c>
      <c r="AW11" s="610">
        <f>1162000+5976000+1367733</f>
        <v>8505733</v>
      </c>
      <c r="AX11" s="610">
        <f>1563824567-AV11-AT11-AR11-AP11-AN11-AL11-AJ11-AH11-AF11-AD11</f>
        <v>27602567</v>
      </c>
      <c r="AY11" s="610">
        <v>0</v>
      </c>
      <c r="AZ11" s="610">
        <f>1574854600-AX11-AV11-AT11-AR11-AP11-AN11-AL11-AJ11-AH11-AF11-AD11</f>
        <v>11030033</v>
      </c>
      <c r="BA11" s="610">
        <f>AY11+AW11+AU11+AS11+AO11+AM11+AK11+AI11+AG11+AE11+AQ11+AC11</f>
        <v>1595517499</v>
      </c>
      <c r="BB11" s="610">
        <f>+AE11+AG11+AI11+AK11+AC11+AM11+AO11+AQ11+AS11+AU11+AW11+AY11</f>
        <v>1595517499</v>
      </c>
      <c r="BC11" s="610">
        <f>AD11+AF11+AH11+AJ11+AL11+AN11+AP11+AR11+AT11+AV11+AX11+AZ11</f>
        <v>1574854600</v>
      </c>
      <c r="BD11" s="610">
        <f>+AC11+AE11+AG11+AI11+AK11+AM11+AO11+AQ11+AS11+AU11+AW11+AY11</f>
        <v>1595517499</v>
      </c>
      <c r="BE11" s="610">
        <f>+AD11+AF11+AH11+AJ11+AL11+AN11+AP11+AR11+AT11+AV11+AX11+AZ11</f>
        <v>1574854600</v>
      </c>
      <c r="BF11" s="610">
        <v>2902459000</v>
      </c>
      <c r="BG11" s="610">
        <v>2679278000</v>
      </c>
      <c r="BH11" s="610">
        <v>2679278000</v>
      </c>
      <c r="BI11" s="610">
        <v>0</v>
      </c>
      <c r="BJ11" s="610">
        <v>0</v>
      </c>
      <c r="BK11" s="610">
        <v>0</v>
      </c>
      <c r="BL11" s="610">
        <v>0</v>
      </c>
      <c r="BM11" s="610">
        <v>0</v>
      </c>
      <c r="BN11" s="610">
        <v>0</v>
      </c>
      <c r="BO11" s="610">
        <v>0</v>
      </c>
      <c r="BP11" s="610">
        <v>0</v>
      </c>
      <c r="BQ11" s="610">
        <v>0</v>
      </c>
      <c r="BR11" s="610">
        <v>0</v>
      </c>
      <c r="BS11" s="610">
        <v>0</v>
      </c>
      <c r="BT11" s="610">
        <v>50780000</v>
      </c>
      <c r="BU11" s="610">
        <v>0</v>
      </c>
      <c r="BV11" s="610">
        <v>98308867</v>
      </c>
      <c r="BW11" s="610">
        <f>83078000-3002298</f>
        <v>80075702</v>
      </c>
      <c r="BX11" s="610">
        <f>18706600</f>
        <v>18706600</v>
      </c>
      <c r="BY11" s="610">
        <v>0</v>
      </c>
      <c r="BZ11" s="610">
        <v>185433867</v>
      </c>
      <c r="CA11" s="610">
        <f>140103000+13771668</f>
        <v>153874668</v>
      </c>
      <c r="CB11" s="610">
        <v>123557400</v>
      </c>
      <c r="CC11" s="610">
        <f>247145267+14151899+12636764</f>
        <v>273933930</v>
      </c>
      <c r="CD11" s="610">
        <v>22696400</v>
      </c>
      <c r="CE11" s="610">
        <f>CC11+CA11+BY11+BW11+BS11+BQ11+BO11+BM11+BK11+BI11+BU11+BG11</f>
        <v>3187162300</v>
      </c>
      <c r="CF11" s="610">
        <f>+BG11+BI11+BK11+BM11+BO11+BQ11+BS11+BU11+BW11+BY11+CA11+CC11</f>
        <v>3187162300</v>
      </c>
      <c r="CG11" s="610">
        <f>BH11+BJ11+BL11+BN11+BP11+BR11+BT11+BV11+BX11+BZ11+CB11+CD11</f>
        <v>3178761134</v>
      </c>
      <c r="CH11" s="610">
        <f>+BG11+BI11+BK11+BM11+BO11+BQ11+BS11+BU11+BW11+BY11+CA11+CC11</f>
        <v>3187162300</v>
      </c>
      <c r="CI11" s="610">
        <f>+BH11+BJ11+BL11+BN11+BP11+BR11+BT11+BV11+BX11+BZ11+CB11+CD11</f>
        <v>3178761134</v>
      </c>
      <c r="CJ11" s="610">
        <v>3676034835</v>
      </c>
      <c r="CK11" s="610">
        <v>1004639000</v>
      </c>
      <c r="CL11" s="610">
        <v>1004639000</v>
      </c>
      <c r="CM11" s="610">
        <v>1928111000</v>
      </c>
      <c r="CN11" s="610">
        <v>1928111000</v>
      </c>
      <c r="CO11" s="610">
        <v>618606000</v>
      </c>
      <c r="CP11" s="610">
        <v>618606000</v>
      </c>
      <c r="CQ11" s="610">
        <v>60000000</v>
      </c>
      <c r="CR11" s="610">
        <v>0</v>
      </c>
      <c r="CS11" s="611">
        <v>0</v>
      </c>
      <c r="CT11" s="611">
        <v>0</v>
      </c>
      <c r="CU11" s="611">
        <v>0</v>
      </c>
      <c r="CV11" s="611">
        <v>0</v>
      </c>
      <c r="CW11" s="611">
        <v>0</v>
      </c>
      <c r="CX11" s="611">
        <v>35260500</v>
      </c>
      <c r="CY11" s="610">
        <v>0</v>
      </c>
      <c r="CZ11" s="610">
        <v>60000000</v>
      </c>
      <c r="DA11" s="611">
        <v>0</v>
      </c>
      <c r="DB11" s="611">
        <v>0</v>
      </c>
      <c r="DC11" s="610">
        <v>0</v>
      </c>
      <c r="DD11" s="610">
        <v>0</v>
      </c>
      <c r="DE11" s="611">
        <v>124180855</v>
      </c>
      <c r="DF11" s="611">
        <v>23272033</v>
      </c>
      <c r="DG11" s="611">
        <v>48699000</v>
      </c>
      <c r="DH11" s="611">
        <v>114177967</v>
      </c>
      <c r="DI11" s="610">
        <f t="shared" ref="DI11:DI15" si="3">+CK11+CM11+CO11+CQ11+CS11+CU11+CW11+CY11+DA11+DC11+DE11+DG11</f>
        <v>3784235855</v>
      </c>
      <c r="DJ11" s="610">
        <f t="shared" si="1"/>
        <v>3784235855</v>
      </c>
      <c r="DK11" s="610">
        <f t="shared" si="1"/>
        <v>3784066500</v>
      </c>
      <c r="DL11" s="610">
        <f t="shared" si="2"/>
        <v>3784235855</v>
      </c>
      <c r="DM11" s="610">
        <f t="shared" si="2"/>
        <v>3784066500</v>
      </c>
      <c r="DN11" s="610">
        <v>4698284000</v>
      </c>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612">
        <f>EK11+EI11+EG11+EE11+EC11+EA11+DY11+DW11+DU11+DS11+DQ11+DO11</f>
        <v>0</v>
      </c>
      <c r="EN11" s="277">
        <f>DO11+DQ11+DS11+DU11</f>
        <v>0</v>
      </c>
      <c r="EO11" s="277">
        <f>DP11+DR11+DT11+DV11</f>
        <v>0</v>
      </c>
      <c r="EP11" s="277">
        <f>DO11+DQ11+DS11+DU11+DW11+DY11+EA11+EC11+EE11+EI11+EK11</f>
        <v>0</v>
      </c>
      <c r="EQ11" s="278">
        <f>DP11+DR11+DT11+DV11</f>
        <v>0</v>
      </c>
      <c r="ER11" s="273">
        <f t="shared" ref="ER11:ER29" si="4">DF11/DE11</f>
        <v>0.18740435472118469</v>
      </c>
      <c r="ES11" s="274">
        <f t="shared" ref="ES11:ES29" si="5">+DK11/DJ11</f>
        <v>0.99995524723973628</v>
      </c>
      <c r="ET11" s="275">
        <f t="shared" ref="ET11:ET29" si="6">+DM11/DL11</f>
        <v>0.99995524723973628</v>
      </c>
      <c r="EU11" s="275">
        <f t="shared" ref="EU11:EU28" si="7">+(AA11+BE11+CI11+DK11)/(Z11+BD11+CH11+DJ11)</f>
        <v>0.99698616053864342</v>
      </c>
      <c r="EV11" s="275">
        <f t="shared" ref="EV11:EV28" si="8">(BE11+AA11+CI11+DM11)/G11</f>
        <v>0.6730133825445147</v>
      </c>
      <c r="EW11" s="759"/>
      <c r="EX11" s="810" t="s">
        <v>514</v>
      </c>
      <c r="EY11" s="810" t="s">
        <v>515</v>
      </c>
      <c r="EZ11" s="807"/>
      <c r="FA11" s="805"/>
    </row>
    <row r="12" spans="1:157" s="206" customFormat="1" ht="28.7" customHeight="1" thickBot="1" x14ac:dyDescent="0.3">
      <c r="A12" s="739"/>
      <c r="B12" s="727"/>
      <c r="C12" s="736"/>
      <c r="D12" s="727"/>
      <c r="E12" s="727"/>
      <c r="F12" s="174" t="s">
        <v>191</v>
      </c>
      <c r="G12" s="610"/>
      <c r="H12" s="610"/>
      <c r="I12" s="610"/>
      <c r="J12" s="610"/>
      <c r="K12" s="610"/>
      <c r="L12" s="610"/>
      <c r="M12" s="610"/>
      <c r="N12" s="610"/>
      <c r="O12" s="610"/>
      <c r="P12" s="610"/>
      <c r="Q12" s="610"/>
      <c r="R12" s="610"/>
      <c r="S12" s="610"/>
      <c r="T12" s="610"/>
      <c r="U12" s="610"/>
      <c r="V12" s="610"/>
      <c r="W12" s="610">
        <f>+U12</f>
        <v>0</v>
      </c>
      <c r="X12" s="610">
        <f t="shared" si="0"/>
        <v>0</v>
      </c>
      <c r="Y12" s="610">
        <f t="shared" si="0"/>
        <v>0</v>
      </c>
      <c r="Z12" s="610">
        <f>+V12</f>
        <v>0</v>
      </c>
      <c r="AA12" s="610">
        <f>+V12</f>
        <v>0</v>
      </c>
      <c r="AB12" s="610">
        <v>1690702000</v>
      </c>
      <c r="AC12" s="610">
        <v>0</v>
      </c>
      <c r="AD12" s="610">
        <v>0</v>
      </c>
      <c r="AE12" s="610">
        <v>0</v>
      </c>
      <c r="AF12" s="610">
        <v>0</v>
      </c>
      <c r="AG12" s="610">
        <v>7000000</v>
      </c>
      <c r="AH12" s="610">
        <v>7000000</v>
      </c>
      <c r="AI12" s="610">
        <f>16134434-AG12</f>
        <v>9134434</v>
      </c>
      <c r="AJ12" s="610">
        <v>9134434</v>
      </c>
      <c r="AK12" s="610">
        <v>93926499</v>
      </c>
      <c r="AL12" s="610">
        <f>110060933-AJ12-AH12-AF12-AD12</f>
        <v>93926499</v>
      </c>
      <c r="AM12" s="610">
        <v>164861799</v>
      </c>
      <c r="AN12" s="610">
        <f>266541467-AL12-AJ12-AH12-AF12-AD12</f>
        <v>156480534</v>
      </c>
      <c r="AO12" s="610">
        <v>148067000</v>
      </c>
      <c r="AP12" s="610">
        <f>428881733-AN12-AL12-AJ12-AH12-AF12-AD12</f>
        <v>162340266</v>
      </c>
      <c r="AQ12" s="610">
        <v>148067000</v>
      </c>
      <c r="AR12" s="610">
        <f>589707187-AP12-AN12-AL12-AJ12-AH12-AF12-AD12</f>
        <v>160825454</v>
      </c>
      <c r="AS12" s="610">
        <v>148067000</v>
      </c>
      <c r="AT12" s="610">
        <f>743141399-AR12-AP12-AN12-AL12-AJ12-AH12-AF12</f>
        <v>153434212</v>
      </c>
      <c r="AU12" s="610">
        <v>148067000</v>
      </c>
      <c r="AV12" s="610">
        <f>913447381-AT12-AR12-AP12-AN12-AL12-AJ12-AH12-AF12-AD12</f>
        <v>170305982</v>
      </c>
      <c r="AW12" s="610">
        <f>148067000+1367733</f>
        <v>149434733</v>
      </c>
      <c r="AX12" s="610">
        <f>1123791527-AV12-AT12-AR12-AP12-AN12-AL12-AJ12-AH12-AF12-AD12</f>
        <v>210344146</v>
      </c>
      <c r="AY12" s="610">
        <f>255821934+419622334-73552234-23000000</f>
        <v>578892034</v>
      </c>
      <c r="AZ12" s="610">
        <f>1364194746-AX12-AV12-AT12-AR12-AP12-AN12-AL12-AJ12-AH12-AF12-AD12</f>
        <v>240403219</v>
      </c>
      <c r="BA12" s="610">
        <f>AY12+AW12+AU12+AS12+AO12+AM12+AK12+AI12+AG12+AE12+AQ12+AC12</f>
        <v>1595517499</v>
      </c>
      <c r="BB12" s="610">
        <f>+AE12+AG12+AI12+AK12+AC12+AM12+AO12+AQ12+AS12+AU12+AW12+AY12</f>
        <v>1595517499</v>
      </c>
      <c r="BC12" s="610">
        <f>AD12+AF12+AH12+AJ12+AL12+AN12+AP12+AR12+AT12+AV12+AX12+AZ12</f>
        <v>1364194746</v>
      </c>
      <c r="BD12" s="610">
        <f>+AC12+AE12+AG12+AI12+AK12+AM12+AO12+AQ12+AS12+AU12+AW12+AY12</f>
        <v>1595517499</v>
      </c>
      <c r="BE12" s="610">
        <f>+AD12+AF12+AH12+AJ12+AL12+AN12+AP12+AR12+AT12+AV12+AX12+AZ12</f>
        <v>1364194746</v>
      </c>
      <c r="BF12" s="610">
        <v>2902459000</v>
      </c>
      <c r="BG12" s="610">
        <v>0</v>
      </c>
      <c r="BH12" s="610">
        <v>0</v>
      </c>
      <c r="BI12" s="610">
        <v>37088600</v>
      </c>
      <c r="BJ12" s="610">
        <v>28673467</v>
      </c>
      <c r="BK12" s="610">
        <v>277396000</v>
      </c>
      <c r="BL12" s="610">
        <f>289292000-BJ12</f>
        <v>260618533</v>
      </c>
      <c r="BM12" s="610">
        <v>277396000</v>
      </c>
      <c r="BN12" s="610">
        <f>550123000-BL12-BJ12</f>
        <v>260831000</v>
      </c>
      <c r="BO12" s="610">
        <v>277396000</v>
      </c>
      <c r="BP12" s="610">
        <f>812762900-BN12-BL12-BJ12-BH12</f>
        <v>262639900</v>
      </c>
      <c r="BQ12" s="610">
        <v>277396000</v>
      </c>
      <c r="BR12" s="610">
        <v>234490000</v>
      </c>
      <c r="BS12" s="610">
        <v>277396000</v>
      </c>
      <c r="BT12" s="610">
        <v>258455167</v>
      </c>
      <c r="BU12" s="610">
        <v>277396000</v>
      </c>
      <c r="BV12" s="610">
        <v>231628778</v>
      </c>
      <c r="BW12" s="610">
        <v>277396000</v>
      </c>
      <c r="BX12" s="610">
        <v>277892634</v>
      </c>
      <c r="BY12" s="610">
        <f>275423000+7000000</f>
        <v>282423000</v>
      </c>
      <c r="BZ12" s="610">
        <v>253130225</v>
      </c>
      <c r="CA12" s="610">
        <f>239572400+7000001</f>
        <v>246572401</v>
      </c>
      <c r="CB12" s="610">
        <v>295838006</v>
      </c>
      <c r="CC12" s="610">
        <f>119422000+66000000+69000000+140103000+78000+415171833-143105298+12636764</f>
        <v>679306299</v>
      </c>
      <c r="CD12" s="610">
        <v>474675833</v>
      </c>
      <c r="CE12" s="610">
        <f>CC12+CA12+BY12+BW12+BS12+BQ12+BO12+BM12+BK12+BI12+BU12+BG12</f>
        <v>3187162300</v>
      </c>
      <c r="CF12" s="610">
        <f>+BI12+BK12+BM12+BO12+BG12+BQ12+BS12+BU12+BW12+BY12+CA12+CC12</f>
        <v>3187162300</v>
      </c>
      <c r="CG12" s="610">
        <f>BH12+BJ12+BL12+BN12+BP12+BR12+BT12+BV12+BX12+BZ12+CB12+CD12</f>
        <v>2838873543</v>
      </c>
      <c r="CH12" s="610">
        <f>+BG12+BI12+BK12+BM12+BO12+BQ12+BS12+BU12+BW12+BY12+CA12+CC12</f>
        <v>3187162300</v>
      </c>
      <c r="CI12" s="610">
        <f>+BH12+BJ12+BL12+BN12+BP12+BR12+BT12+BV12+BX12+BZ12+CB12+CD12</f>
        <v>2838873543</v>
      </c>
      <c r="CJ12" s="610">
        <f t="shared" ref="CJ12:CJ27" si="9">+CK12+CM12+CO12+CQ12+CS12+CU12+CW12+CY12+DA12+DC12+DE12+DG12</f>
        <v>3784235855</v>
      </c>
      <c r="CK12" s="610">
        <v>0</v>
      </c>
      <c r="CL12" s="610">
        <v>0</v>
      </c>
      <c r="CM12" s="610">
        <v>0</v>
      </c>
      <c r="CN12" s="610">
        <v>0</v>
      </c>
      <c r="CO12" s="610">
        <v>158248266</v>
      </c>
      <c r="CP12" s="610">
        <v>158248266</v>
      </c>
      <c r="CQ12" s="610">
        <v>330728967</v>
      </c>
      <c r="CR12" s="610">
        <v>281626699</v>
      </c>
      <c r="CS12" s="611">
        <v>366347100</v>
      </c>
      <c r="CT12" s="611">
        <v>355358133</v>
      </c>
      <c r="CU12" s="611">
        <v>381788000</v>
      </c>
      <c r="CV12" s="611">
        <v>373797754</v>
      </c>
      <c r="CW12" s="611">
        <v>382288000</v>
      </c>
      <c r="CX12" s="611">
        <v>362323367</v>
      </c>
      <c r="CY12" s="610">
        <v>376014267</v>
      </c>
      <c r="CZ12" s="610">
        <v>335783343</v>
      </c>
      <c r="DA12" s="611">
        <v>367735000</v>
      </c>
      <c r="DB12" s="611">
        <v>342592276</v>
      </c>
      <c r="DC12" s="610">
        <v>367735000</v>
      </c>
      <c r="DD12" s="610">
        <v>353775268</v>
      </c>
      <c r="DE12" s="611">
        <v>375410035</v>
      </c>
      <c r="DF12" s="611">
        <v>315928223</v>
      </c>
      <c r="DG12" s="611">
        <f>569740200+108201020</f>
        <v>677941220</v>
      </c>
      <c r="DH12" s="611">
        <v>503211978</v>
      </c>
      <c r="DI12" s="610">
        <f t="shared" si="3"/>
        <v>3784235855</v>
      </c>
      <c r="DJ12" s="610">
        <f t="shared" si="1"/>
        <v>3784235855</v>
      </c>
      <c r="DK12" s="610">
        <f t="shared" si="1"/>
        <v>3382645307</v>
      </c>
      <c r="DL12" s="610">
        <f t="shared" si="2"/>
        <v>3784235855</v>
      </c>
      <c r="DM12" s="610">
        <f t="shared" si="2"/>
        <v>3382645307</v>
      </c>
      <c r="DN12" s="610"/>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612">
        <f>EI12+EG12+EE12+EC12+EA12+DY12+DW12+DU12+DS12+DQ12+DO12+EK12</f>
        <v>0</v>
      </c>
      <c r="EN12" s="277">
        <f>+DO12+DQ12+DS12+DU12</f>
        <v>0</v>
      </c>
      <c r="EO12" s="277">
        <f>DP12+DR12+DT12+DV12</f>
        <v>0</v>
      </c>
      <c r="EP12" s="277">
        <f>DQ12+DS12+DU12+DW12+DY12+EA12+EC12+EE12+EG12+EI12+EK12</f>
        <v>0</v>
      </c>
      <c r="EQ12" s="278">
        <f>DP12+DR12+DT12+DV12</f>
        <v>0</v>
      </c>
      <c r="ER12" s="273">
        <f t="shared" si="4"/>
        <v>0.84155508256458833</v>
      </c>
      <c r="ES12" s="274">
        <f t="shared" si="5"/>
        <v>0.89387803419562495</v>
      </c>
      <c r="ET12" s="275">
        <f t="shared" si="6"/>
        <v>0.89387803419562495</v>
      </c>
      <c r="EU12" s="275">
        <f t="shared" si="7"/>
        <v>0.8854661236752267</v>
      </c>
      <c r="EV12" s="275">
        <f>IFERROR((BE12+AA12+CI12+DM12)/G12,0)</f>
        <v>0</v>
      </c>
      <c r="EW12" s="759"/>
      <c r="EX12" s="810" t="s">
        <v>514</v>
      </c>
      <c r="EY12" s="810" t="s">
        <v>515</v>
      </c>
      <c r="EZ12" s="807"/>
      <c r="FA12" s="805"/>
    </row>
    <row r="13" spans="1:157" s="212" customFormat="1" ht="28.7" customHeight="1" thickBot="1" x14ac:dyDescent="0.3">
      <c r="A13" s="739"/>
      <c r="B13" s="727"/>
      <c r="C13" s="736"/>
      <c r="D13" s="727"/>
      <c r="E13" s="727"/>
      <c r="F13" s="213" t="s">
        <v>41</v>
      </c>
      <c r="G13" s="613">
        <f>AA13+BE13+CI13+DL13+DN13</f>
        <v>593</v>
      </c>
      <c r="H13" s="614">
        <v>0</v>
      </c>
      <c r="I13" s="614">
        <v>0</v>
      </c>
      <c r="J13" s="614">
        <v>0</v>
      </c>
      <c r="K13" s="614">
        <v>0</v>
      </c>
      <c r="L13" s="614">
        <v>0</v>
      </c>
      <c r="M13" s="614">
        <v>0</v>
      </c>
      <c r="N13" s="614">
        <v>0</v>
      </c>
      <c r="O13" s="614">
        <v>0</v>
      </c>
      <c r="P13" s="614">
        <v>0</v>
      </c>
      <c r="Q13" s="614">
        <v>0</v>
      </c>
      <c r="R13" s="614">
        <v>0</v>
      </c>
      <c r="S13" s="614">
        <v>0</v>
      </c>
      <c r="T13" s="614">
        <v>0</v>
      </c>
      <c r="U13" s="614">
        <v>0</v>
      </c>
      <c r="V13" s="614">
        <v>0</v>
      </c>
      <c r="W13" s="271">
        <f>+U13</f>
        <v>0</v>
      </c>
      <c r="X13" s="604">
        <f t="shared" si="0"/>
        <v>0</v>
      </c>
      <c r="Y13" s="604">
        <f t="shared" si="0"/>
        <v>0</v>
      </c>
      <c r="Z13" s="604">
        <f>+V13</f>
        <v>0</v>
      </c>
      <c r="AA13" s="604">
        <f>+V13</f>
        <v>0</v>
      </c>
      <c r="AB13" s="614">
        <v>0</v>
      </c>
      <c r="AC13" s="615">
        <v>0</v>
      </c>
      <c r="AD13" s="615">
        <v>0</v>
      </c>
      <c r="AE13" s="614">
        <v>0</v>
      </c>
      <c r="AF13" s="614">
        <v>0</v>
      </c>
      <c r="AG13" s="614">
        <v>0</v>
      </c>
      <c r="AH13" s="614">
        <v>0</v>
      </c>
      <c r="AI13" s="614">
        <v>0</v>
      </c>
      <c r="AJ13" s="614">
        <v>0</v>
      </c>
      <c r="AK13" s="614">
        <v>0</v>
      </c>
      <c r="AL13" s="614">
        <v>0</v>
      </c>
      <c r="AM13" s="614">
        <v>0</v>
      </c>
      <c r="AN13" s="614">
        <v>0</v>
      </c>
      <c r="AO13" s="614">
        <v>0</v>
      </c>
      <c r="AP13" s="614">
        <v>0</v>
      </c>
      <c r="AQ13" s="614">
        <v>0</v>
      </c>
      <c r="AR13" s="614">
        <v>0</v>
      </c>
      <c r="AS13" s="614">
        <v>0</v>
      </c>
      <c r="AT13" s="614">
        <v>0</v>
      </c>
      <c r="AU13" s="614">
        <v>0</v>
      </c>
      <c r="AV13" s="614">
        <v>0</v>
      </c>
      <c r="AW13" s="614">
        <v>0</v>
      </c>
      <c r="AX13" s="614">
        <v>0</v>
      </c>
      <c r="AY13" s="614">
        <v>0</v>
      </c>
      <c r="AZ13" s="614"/>
      <c r="BA13" s="604">
        <f>AY13+AW13+AU13+AS13+AO13+AM13+AK13+AI13+AG13+AE13+AQ13+AC13</f>
        <v>0</v>
      </c>
      <c r="BB13" s="604">
        <f>+AE13+AG13+AI13+AK13+AC13+AM13</f>
        <v>0</v>
      </c>
      <c r="BC13" s="604">
        <f>AD13+AF13+AH13+AJ13+AL13+AN13</f>
        <v>0</v>
      </c>
      <c r="BD13" s="604">
        <f>+AC13+AE13+AG13+AI13+AK13+AM13+AO13+AQ13+AS13+AU13+AW13+AY13</f>
        <v>0</v>
      </c>
      <c r="BE13" s="604">
        <f>+AD13+AF13+AH13+AJ13+AL13+AN13+AP13+AR13+AT13+AV13+AX13+AZ13</f>
        <v>0</v>
      </c>
      <c r="BF13" s="616">
        <v>22</v>
      </c>
      <c r="BG13" s="614">
        <v>8</v>
      </c>
      <c r="BH13" s="614">
        <v>8</v>
      </c>
      <c r="BI13" s="614">
        <v>14</v>
      </c>
      <c r="BJ13" s="614">
        <v>0</v>
      </c>
      <c r="BK13" s="614">
        <v>0</v>
      </c>
      <c r="BL13" s="614">
        <v>0</v>
      </c>
      <c r="BM13" s="614">
        <v>0</v>
      </c>
      <c r="BN13" s="614">
        <v>0</v>
      </c>
      <c r="BO13" s="614">
        <v>0</v>
      </c>
      <c r="BP13" s="614">
        <v>2</v>
      </c>
      <c r="BQ13" s="614">
        <v>0</v>
      </c>
      <c r="BR13" s="614">
        <v>0</v>
      </c>
      <c r="BS13" s="614">
        <v>0</v>
      </c>
      <c r="BT13" s="614">
        <v>12</v>
      </c>
      <c r="BU13" s="614">
        <v>0</v>
      </c>
      <c r="BV13" s="614">
        <v>0</v>
      </c>
      <c r="BW13" s="614">
        <v>0</v>
      </c>
      <c r="BX13" s="614">
        <v>0</v>
      </c>
      <c r="BY13" s="614">
        <v>0</v>
      </c>
      <c r="BZ13" s="614">
        <v>0</v>
      </c>
      <c r="CA13" s="614">
        <v>0</v>
      </c>
      <c r="CB13" s="614">
        <v>0</v>
      </c>
      <c r="CC13" s="614">
        <v>0</v>
      </c>
      <c r="CD13" s="614">
        <v>0</v>
      </c>
      <c r="CE13" s="279">
        <f>CC13+CA13+BY13+BW13+BS13+BQ13+BO13+BM13+BK13+BI13+BU13+BG13</f>
        <v>22</v>
      </c>
      <c r="CF13" s="604">
        <f>+BG13+BI13+BK13+BM13+BO13+BQ13+BS13+BU13</f>
        <v>22</v>
      </c>
      <c r="CG13" s="279">
        <f>BH13+BJ13+BL13+BN13+BP13+BR13+BT13+BV13+BX13+BZ13+CB13+CD13</f>
        <v>22</v>
      </c>
      <c r="CH13" s="279">
        <f>+BG13+BI13+BK13+BM13+BO13+BQ13+BS13+BU13+BW13+BY13+CA13+CC13</f>
        <v>22</v>
      </c>
      <c r="CI13" s="279">
        <f>+BH13+BJ13+BL13+BN13+BP13+BR13+BT13+BV13+BX13+BZ13+CB13+CD13</f>
        <v>22</v>
      </c>
      <c r="CJ13" s="279">
        <f t="shared" si="9"/>
        <v>571</v>
      </c>
      <c r="CK13" s="617">
        <v>99</v>
      </c>
      <c r="CL13" s="616">
        <v>99</v>
      </c>
      <c r="CM13" s="616">
        <v>131</v>
      </c>
      <c r="CN13" s="616">
        <v>131</v>
      </c>
      <c r="CO13" s="616">
        <v>233</v>
      </c>
      <c r="CP13" s="616">
        <v>233</v>
      </c>
      <c r="CQ13" s="616">
        <v>103</v>
      </c>
      <c r="CR13" s="616">
        <v>103</v>
      </c>
      <c r="CS13" s="618">
        <v>5</v>
      </c>
      <c r="CT13" s="618">
        <v>3</v>
      </c>
      <c r="CU13" s="618">
        <v>0</v>
      </c>
      <c r="CV13" s="618">
        <v>2</v>
      </c>
      <c r="CW13" s="618">
        <v>0</v>
      </c>
      <c r="CX13" s="618">
        <v>0</v>
      </c>
      <c r="CY13" s="616">
        <v>0</v>
      </c>
      <c r="CZ13" s="616">
        <v>0</v>
      </c>
      <c r="DA13" s="618">
        <v>0</v>
      </c>
      <c r="DB13" s="618">
        <v>0</v>
      </c>
      <c r="DC13" s="616">
        <v>0</v>
      </c>
      <c r="DD13" s="616">
        <v>0</v>
      </c>
      <c r="DE13" s="618">
        <v>0</v>
      </c>
      <c r="DF13" s="618">
        <v>0</v>
      </c>
      <c r="DG13" s="618"/>
      <c r="DH13" s="618">
        <v>0</v>
      </c>
      <c r="DI13" s="609">
        <f>+CK13+CM13+CO13+CQ13+CS13+CU13+CW13+CY13+DA13+DC13+DE13+DG13</f>
        <v>571</v>
      </c>
      <c r="DJ13" s="609">
        <f t="shared" si="1"/>
        <v>571</v>
      </c>
      <c r="DK13" s="609">
        <f t="shared" si="1"/>
        <v>571</v>
      </c>
      <c r="DL13" s="609">
        <f t="shared" si="2"/>
        <v>571</v>
      </c>
      <c r="DM13" s="609">
        <f>+CL13+CN13+CP13+CR13+CT13+CV13+CX13+CZ13+DB13+DD13+DF13+DH13</f>
        <v>571</v>
      </c>
      <c r="DN13" s="616"/>
      <c r="DO13" s="614"/>
      <c r="DP13" s="614"/>
      <c r="DQ13" s="614"/>
      <c r="DR13" s="614"/>
      <c r="DS13" s="614"/>
      <c r="DT13" s="614"/>
      <c r="DU13" s="614"/>
      <c r="DV13" s="614"/>
      <c r="DW13" s="614"/>
      <c r="DX13" s="614"/>
      <c r="DY13" s="614"/>
      <c r="DZ13" s="614"/>
      <c r="EA13" s="614"/>
      <c r="EB13" s="614"/>
      <c r="EC13" s="614"/>
      <c r="ED13" s="614"/>
      <c r="EE13" s="614"/>
      <c r="EF13" s="614"/>
      <c r="EG13" s="614"/>
      <c r="EH13" s="614"/>
      <c r="EI13" s="614"/>
      <c r="EJ13" s="614"/>
      <c r="EK13" s="614"/>
      <c r="EL13" s="614"/>
      <c r="EM13" s="614"/>
      <c r="EN13" s="280">
        <f>DO13+DQ13+DS13+DU13</f>
        <v>0</v>
      </c>
      <c r="EO13" s="280">
        <f>DP13+DR13+DT13+DV13</f>
        <v>0</v>
      </c>
      <c r="EP13" s="280">
        <f>DQ13+DS13+DU13+DW13+DY13+EA13+EC13+EE13+EG13+EI13+EK13</f>
        <v>0</v>
      </c>
      <c r="EQ13" s="616">
        <v>0</v>
      </c>
      <c r="ER13" s="273">
        <f>IFERROR(DF13/DE13,0)</f>
        <v>0</v>
      </c>
      <c r="ES13" s="274">
        <f t="shared" si="5"/>
        <v>1</v>
      </c>
      <c r="ET13" s="275">
        <f t="shared" si="6"/>
        <v>1</v>
      </c>
      <c r="EU13" s="275">
        <f t="shared" si="7"/>
        <v>1</v>
      </c>
      <c r="EV13" s="275">
        <f t="shared" si="8"/>
        <v>1</v>
      </c>
      <c r="EW13" s="759"/>
      <c r="EX13" s="810" t="s">
        <v>514</v>
      </c>
      <c r="EY13" s="810" t="s">
        <v>515</v>
      </c>
      <c r="EZ13" s="807"/>
      <c r="FA13" s="805"/>
    </row>
    <row r="14" spans="1:157" s="206" customFormat="1" ht="28.7" customHeight="1" thickBot="1" x14ac:dyDescent="0.3">
      <c r="A14" s="739"/>
      <c r="B14" s="727"/>
      <c r="C14" s="736"/>
      <c r="D14" s="727"/>
      <c r="E14" s="727"/>
      <c r="F14" s="205" t="s">
        <v>4</v>
      </c>
      <c r="G14" s="610">
        <f>AA14+BE14+CI14+DL14+DN14</f>
        <v>1346461524</v>
      </c>
      <c r="H14" s="610">
        <v>0</v>
      </c>
      <c r="I14" s="610">
        <v>0</v>
      </c>
      <c r="J14" s="610">
        <v>0</v>
      </c>
      <c r="K14" s="610">
        <v>0</v>
      </c>
      <c r="L14" s="610">
        <v>0</v>
      </c>
      <c r="M14" s="610">
        <v>0</v>
      </c>
      <c r="N14" s="610">
        <v>0</v>
      </c>
      <c r="O14" s="610">
        <v>0</v>
      </c>
      <c r="P14" s="610">
        <v>0</v>
      </c>
      <c r="Q14" s="610">
        <v>0</v>
      </c>
      <c r="R14" s="610">
        <v>0</v>
      </c>
      <c r="S14" s="610">
        <v>0</v>
      </c>
      <c r="T14" s="610">
        <v>0</v>
      </c>
      <c r="U14" s="610">
        <v>0</v>
      </c>
      <c r="V14" s="610">
        <v>0</v>
      </c>
      <c r="W14" s="610">
        <f>+U14</f>
        <v>0</v>
      </c>
      <c r="X14" s="610">
        <f>+U14</f>
        <v>0</v>
      </c>
      <c r="Y14" s="610"/>
      <c r="Z14" s="610">
        <f>+V14</f>
        <v>0</v>
      </c>
      <c r="AA14" s="610">
        <f>+V14</f>
        <v>0</v>
      </c>
      <c r="AB14" s="610">
        <v>819957380</v>
      </c>
      <c r="AC14" s="610">
        <v>62826934</v>
      </c>
      <c r="AD14" s="610">
        <v>62826934</v>
      </c>
      <c r="AE14" s="610">
        <v>46198988</v>
      </c>
      <c r="AF14" s="610">
        <v>46198988</v>
      </c>
      <c r="AG14" s="610">
        <f>161160380-AE14-AC14</f>
        <v>52134458</v>
      </c>
      <c r="AH14" s="610">
        <v>52134458</v>
      </c>
      <c r="AI14" s="610">
        <f>309510380-AG14-AE14-AC14</f>
        <v>148350000</v>
      </c>
      <c r="AJ14" s="610">
        <v>148350000</v>
      </c>
      <c r="AK14" s="610">
        <v>7000000</v>
      </c>
      <c r="AL14" s="610">
        <f>316510380-AI14-AG14-AE14-AC14</f>
        <v>7000000</v>
      </c>
      <c r="AM14" s="610">
        <v>209525000</v>
      </c>
      <c r="AN14" s="610">
        <f>526035380-AL14-AJ14-AH14-AF14-AD14</f>
        <v>209525000</v>
      </c>
      <c r="AO14" s="610">
        <v>12222000</v>
      </c>
      <c r="AP14" s="610">
        <f>534035380-AN14-AL14-AJ14-AH14-AF14-AD14</f>
        <v>8000000</v>
      </c>
      <c r="AQ14" s="610">
        <f>281700000-8000000</f>
        <v>273700000</v>
      </c>
      <c r="AR14" s="610">
        <f>735560380-AP14-AN14-AL14-AJ14-AH14-AF14-AD14</f>
        <v>201525000</v>
      </c>
      <c r="AS14" s="610">
        <v>0</v>
      </c>
      <c r="AT14" s="610">
        <v>0</v>
      </c>
      <c r="AU14" s="610">
        <v>0</v>
      </c>
      <c r="AV14" s="610">
        <f>811957380-AT14-AR14-AP14-AN14-AL14-AH14-AJ14-AF14-AD14</f>
        <v>76397000</v>
      </c>
      <c r="AW14" s="610">
        <v>0</v>
      </c>
      <c r="AX14" s="610">
        <v>0</v>
      </c>
      <c r="AY14" s="610">
        <v>0</v>
      </c>
      <c r="AZ14" s="610">
        <v>0</v>
      </c>
      <c r="BA14" s="610">
        <f>AY14+AW14+AU14+AS14+AO14+AM14+AK14+AI14+AG14+AE14+AQ14+AC14</f>
        <v>811957380</v>
      </c>
      <c r="BB14" s="610">
        <f>+AE14+AG14+AI14+AK14+AC14+AM14+AO14+AQ14+AS14</f>
        <v>811957380</v>
      </c>
      <c r="BC14" s="610">
        <f>AD14+AF14+AH14+AJ14+AL14+AN14+AP14+AR14+AT14+AV14</f>
        <v>811957380</v>
      </c>
      <c r="BD14" s="610">
        <f>+AC14+AE14+AG14+AI14+AK14+AM14+AO14+AQ14+AS14+AU14+AW14+AY14</f>
        <v>811957380</v>
      </c>
      <c r="BE14" s="610">
        <f>+AD14+AF14+AH14+AJ14+AL14+AN14+AP14+AR14+AT14+AV14+AX14+AZ14</f>
        <v>811957380</v>
      </c>
      <c r="BF14" s="610">
        <v>210659853</v>
      </c>
      <c r="BG14" s="610">
        <v>127988139</v>
      </c>
      <c r="BH14" s="610">
        <v>127988139</v>
      </c>
      <c r="BI14" s="610">
        <v>21547667</v>
      </c>
      <c r="BJ14" s="610">
        <f>149235806-BH14</f>
        <v>21247667</v>
      </c>
      <c r="BK14" s="610">
        <v>17599333</v>
      </c>
      <c r="BL14" s="610">
        <f>182171673-BJ14-BH14</f>
        <v>32935867</v>
      </c>
      <c r="BM14" s="610">
        <v>20159668</v>
      </c>
      <c r="BN14" s="610">
        <f>199089671-BL14-BJ14-BH14</f>
        <v>16917998</v>
      </c>
      <c r="BO14" s="610">
        <v>6451000</v>
      </c>
      <c r="BP14" s="610">
        <f>202377319-BN14-BL14-BJ14-BH14</f>
        <v>3287648</v>
      </c>
      <c r="BQ14" s="610">
        <v>5573866</v>
      </c>
      <c r="BR14" s="610">
        <v>0</v>
      </c>
      <c r="BS14" s="610">
        <v>4000000</v>
      </c>
      <c r="BT14" s="610">
        <v>8282534</v>
      </c>
      <c r="BU14" s="610">
        <v>4000000</v>
      </c>
      <c r="BV14" s="610">
        <v>0</v>
      </c>
      <c r="BW14" s="610">
        <v>3340180</v>
      </c>
      <c r="BX14" s="610">
        <v>0</v>
      </c>
      <c r="BY14" s="610">
        <v>0</v>
      </c>
      <c r="BZ14" s="610">
        <v>0</v>
      </c>
      <c r="CA14" s="610">
        <v>0</v>
      </c>
      <c r="CB14" s="610">
        <v>0</v>
      </c>
      <c r="CC14" s="610">
        <v>0</v>
      </c>
      <c r="CD14" s="610">
        <v>0</v>
      </c>
      <c r="CE14" s="610">
        <f>CC14+CA14+BY14+BW14+BS14+BQ14+BO14+BM14+BK14+BI14+BU14+BG14</f>
        <v>210659853</v>
      </c>
      <c r="CF14" s="610">
        <f>+BI14+BK14+BM14+BO14+BG14+BQ14+BS14+BU14+BW14+BY14+CA14+CC14</f>
        <v>210659853</v>
      </c>
      <c r="CG14" s="610">
        <f>BH14+BJ14+BL14+BN14+BP14+BR14+BT14+BV14+BX14+BZ14+CB14+CD14</f>
        <v>210659853</v>
      </c>
      <c r="CH14" s="610">
        <f>+BG14+BI14+BK14+BM14+BO14+BQ14+BS14+BU14+BW14+BY14+CA14+CC14</f>
        <v>210659853</v>
      </c>
      <c r="CI14" s="610">
        <f>+BH14+BJ14+BL14+BN14+BP14+BR14+BT14+BV14+BX14+BZ14+CB14+CD14</f>
        <v>210659853</v>
      </c>
      <c r="CJ14" s="611">
        <v>323844291</v>
      </c>
      <c r="CK14" s="610">
        <v>74516636</v>
      </c>
      <c r="CL14" s="610">
        <v>74516636</v>
      </c>
      <c r="CM14" s="610">
        <v>110196244</v>
      </c>
      <c r="CN14" s="610">
        <v>110196244</v>
      </c>
      <c r="CO14" s="610">
        <v>38504933</v>
      </c>
      <c r="CP14" s="610">
        <v>38504933</v>
      </c>
      <c r="CQ14" s="610">
        <v>37127812</v>
      </c>
      <c r="CR14" s="610">
        <v>28121979</v>
      </c>
      <c r="CS14" s="611">
        <v>5427233</v>
      </c>
      <c r="CT14" s="611">
        <v>8688066</v>
      </c>
      <c r="CU14" s="611">
        <v>0</v>
      </c>
      <c r="CV14" s="611">
        <v>5745000</v>
      </c>
      <c r="CW14" s="611">
        <v>0</v>
      </c>
      <c r="CX14" s="611">
        <v>0</v>
      </c>
      <c r="CY14" s="610">
        <v>58071433</v>
      </c>
      <c r="CZ14" s="610">
        <v>6511000</v>
      </c>
      <c r="DA14" s="611">
        <v>0</v>
      </c>
      <c r="DB14" s="611">
        <v>0</v>
      </c>
      <c r="DC14" s="610">
        <v>0</v>
      </c>
      <c r="DD14" s="610">
        <v>0</v>
      </c>
      <c r="DE14" s="611">
        <v>0</v>
      </c>
      <c r="DF14" s="611">
        <v>0</v>
      </c>
      <c r="DG14" s="611"/>
      <c r="DH14" s="611">
        <v>0</v>
      </c>
      <c r="DI14" s="610">
        <f>+CK14+CM14+CO14+CQ14+CS14+CU14+CW14+CY14+DA14+DC14+DE14+DG14</f>
        <v>323844291</v>
      </c>
      <c r="DJ14" s="610">
        <f>+CK14+CM14+CO14+CQ14+CS14+CU14+CW14+CY14+DA14+DC14+DF14</f>
        <v>323844291</v>
      </c>
      <c r="DK14" s="610">
        <f>+CL14+CN14+CP14+CR14+CT14+CV14+CX14+CZ14+DB14+DD14+DF14+DH14</f>
        <v>272283858</v>
      </c>
      <c r="DL14" s="610">
        <f>+CK14+CM14+CO14+CQ14+CS14+CU14+CW14+CY14+DA14+DC14+DE14+DG14</f>
        <v>323844291</v>
      </c>
      <c r="DM14" s="610">
        <f>+CL14+CN14+CP14+CR14+CT14+CV14+CX14+CZ14+DB14+DD14+DF14+DH14</f>
        <v>272283858</v>
      </c>
      <c r="DN14" s="610"/>
      <c r="DO14" s="619"/>
      <c r="DP14" s="619"/>
      <c r="DQ14" s="619"/>
      <c r="DR14" s="619"/>
      <c r="DS14" s="619"/>
      <c r="DT14" s="619"/>
      <c r="DU14" s="619"/>
      <c r="DV14" s="619"/>
      <c r="DW14" s="619"/>
      <c r="DX14" s="619"/>
      <c r="DY14" s="619"/>
      <c r="DZ14" s="619"/>
      <c r="EA14" s="619"/>
      <c r="EB14" s="619"/>
      <c r="EC14" s="619"/>
      <c r="ED14" s="619"/>
      <c r="EE14" s="619"/>
      <c r="EF14" s="619"/>
      <c r="EG14" s="619"/>
      <c r="EH14" s="619"/>
      <c r="EI14" s="619"/>
      <c r="EJ14" s="619"/>
      <c r="EK14" s="619"/>
      <c r="EL14" s="619"/>
      <c r="EM14" s="612">
        <f>EI14+EG14+EE14+EC14+EA14+DY14+DW14+DU14+DS14+DQ14+DO14+EK14</f>
        <v>0</v>
      </c>
      <c r="EN14" s="277">
        <f>DO14+DQ14+DS14+DU14</f>
        <v>0</v>
      </c>
      <c r="EO14" s="620">
        <f>DP14+DR14+DT14+DV14</f>
        <v>0</v>
      </c>
      <c r="EP14" s="277">
        <f>DQ14+DS14+DU14+DW14+DY14+EA14+EC14+EE14+EG14+EI14+EK14+DO14</f>
        <v>0</v>
      </c>
      <c r="EQ14" s="278">
        <f>DP14+DR14+DT14+DV14</f>
        <v>0</v>
      </c>
      <c r="ER14" s="273">
        <f>IFERROR(DF14/DE14,0)</f>
        <v>0</v>
      </c>
      <c r="ES14" s="274">
        <f t="shared" si="5"/>
        <v>0.84078634568240695</v>
      </c>
      <c r="ET14" s="275">
        <f t="shared" si="6"/>
        <v>0.84078634568240695</v>
      </c>
      <c r="EU14" s="275">
        <f t="shared" si="7"/>
        <v>0.96170671639630156</v>
      </c>
      <c r="EV14" s="275">
        <f t="shared" si="8"/>
        <v>0.96170671639630156</v>
      </c>
      <c r="EW14" s="759"/>
      <c r="EX14" s="810" t="s">
        <v>514</v>
      </c>
      <c r="EY14" s="810" t="s">
        <v>515</v>
      </c>
      <c r="EZ14" s="807"/>
      <c r="FA14" s="805"/>
    </row>
    <row r="15" spans="1:157" s="209" customFormat="1" ht="28.7" customHeight="1" thickBot="1" x14ac:dyDescent="0.3">
      <c r="A15" s="739"/>
      <c r="B15" s="727"/>
      <c r="C15" s="736"/>
      <c r="D15" s="727"/>
      <c r="E15" s="727"/>
      <c r="F15" s="214" t="s">
        <v>42</v>
      </c>
      <c r="G15" s="621">
        <f>G10+G13</f>
        <v>19335</v>
      </c>
      <c r="H15" s="622">
        <f t="shared" ref="H15:BS15" si="10">+H10+H13</f>
        <v>500</v>
      </c>
      <c r="I15" s="622">
        <f t="shared" si="10"/>
        <v>500</v>
      </c>
      <c r="J15" s="622">
        <f t="shared" si="10"/>
        <v>0</v>
      </c>
      <c r="K15" s="622">
        <f t="shared" si="10"/>
        <v>500</v>
      </c>
      <c r="L15" s="622">
        <f t="shared" si="10"/>
        <v>500</v>
      </c>
      <c r="M15" s="622">
        <f t="shared" si="10"/>
        <v>500</v>
      </c>
      <c r="N15" s="622">
        <f t="shared" si="10"/>
        <v>144</v>
      </c>
      <c r="O15" s="622">
        <f t="shared" si="10"/>
        <v>500</v>
      </c>
      <c r="P15" s="622">
        <f t="shared" si="10"/>
        <v>299</v>
      </c>
      <c r="Q15" s="622">
        <f t="shared" si="10"/>
        <v>500</v>
      </c>
      <c r="R15" s="622">
        <f t="shared" si="10"/>
        <v>411</v>
      </c>
      <c r="S15" s="622">
        <f t="shared" si="10"/>
        <v>500</v>
      </c>
      <c r="T15" s="622">
        <f t="shared" si="10"/>
        <v>471</v>
      </c>
      <c r="U15" s="622">
        <f t="shared" si="10"/>
        <v>500</v>
      </c>
      <c r="V15" s="622">
        <f t="shared" si="10"/>
        <v>500</v>
      </c>
      <c r="W15" s="622">
        <f t="shared" si="10"/>
        <v>500</v>
      </c>
      <c r="X15" s="622">
        <f t="shared" si="10"/>
        <v>500</v>
      </c>
      <c r="Y15" s="622">
        <f t="shared" si="10"/>
        <v>500</v>
      </c>
      <c r="Z15" s="622">
        <f t="shared" si="10"/>
        <v>500</v>
      </c>
      <c r="AA15" s="622">
        <f t="shared" si="10"/>
        <v>500</v>
      </c>
      <c r="AB15" s="622">
        <f t="shared" si="10"/>
        <v>2117</v>
      </c>
      <c r="AC15" s="622">
        <f t="shared" si="10"/>
        <v>0</v>
      </c>
      <c r="AD15" s="622">
        <f t="shared" si="10"/>
        <v>0</v>
      </c>
      <c r="AE15" s="622">
        <f>+AE10+AE13</f>
        <v>0</v>
      </c>
      <c r="AF15" s="622">
        <f t="shared" si="10"/>
        <v>0</v>
      </c>
      <c r="AG15" s="622">
        <f t="shared" si="10"/>
        <v>0</v>
      </c>
      <c r="AH15" s="622">
        <f t="shared" si="10"/>
        <v>0</v>
      </c>
      <c r="AI15" s="622">
        <f t="shared" si="10"/>
        <v>33</v>
      </c>
      <c r="AJ15" s="622">
        <f t="shared" si="10"/>
        <v>33</v>
      </c>
      <c r="AK15" s="622">
        <f t="shared" si="10"/>
        <v>201</v>
      </c>
      <c r="AL15" s="622">
        <f t="shared" si="10"/>
        <v>202</v>
      </c>
      <c r="AM15" s="622">
        <f t="shared" si="10"/>
        <v>264</v>
      </c>
      <c r="AN15" s="622">
        <f t="shared" si="10"/>
        <v>264</v>
      </c>
      <c r="AO15" s="622">
        <f t="shared" si="10"/>
        <v>264</v>
      </c>
      <c r="AP15" s="622">
        <f t="shared" si="10"/>
        <v>264</v>
      </c>
      <c r="AQ15" s="622">
        <f t="shared" si="10"/>
        <v>264</v>
      </c>
      <c r="AR15" s="622">
        <f t="shared" si="10"/>
        <v>264</v>
      </c>
      <c r="AS15" s="622">
        <f t="shared" si="10"/>
        <v>264</v>
      </c>
      <c r="AT15" s="622">
        <f>+AR10+AT13</f>
        <v>264</v>
      </c>
      <c r="AU15" s="622">
        <f t="shared" si="10"/>
        <v>264</v>
      </c>
      <c r="AV15" s="622">
        <f t="shared" si="10"/>
        <v>292</v>
      </c>
      <c r="AW15" s="622">
        <f t="shared" si="10"/>
        <v>264</v>
      </c>
      <c r="AX15" s="622">
        <f t="shared" si="10"/>
        <v>301</v>
      </c>
      <c r="AY15" s="622">
        <f t="shared" si="10"/>
        <v>299</v>
      </c>
      <c r="AZ15" s="622">
        <f t="shared" si="10"/>
        <v>210</v>
      </c>
      <c r="BA15" s="622">
        <f t="shared" si="10"/>
        <v>2117</v>
      </c>
      <c r="BB15" s="622">
        <f t="shared" si="10"/>
        <v>2117</v>
      </c>
      <c r="BC15" s="622">
        <f t="shared" si="10"/>
        <v>2095</v>
      </c>
      <c r="BD15" s="622">
        <f t="shared" si="10"/>
        <v>2117</v>
      </c>
      <c r="BE15" s="622">
        <f t="shared" si="10"/>
        <v>2095</v>
      </c>
      <c r="BF15" s="622">
        <f>+BF10+BF13</f>
        <v>7039</v>
      </c>
      <c r="BG15" s="622">
        <f t="shared" si="10"/>
        <v>48</v>
      </c>
      <c r="BH15" s="622">
        <f t="shared" si="10"/>
        <v>48</v>
      </c>
      <c r="BI15" s="622">
        <f t="shared" si="10"/>
        <v>570</v>
      </c>
      <c r="BJ15" s="622">
        <f t="shared" si="10"/>
        <v>324</v>
      </c>
      <c r="BK15" s="622">
        <f t="shared" si="10"/>
        <v>555</v>
      </c>
      <c r="BL15" s="622">
        <f t="shared" si="10"/>
        <v>698</v>
      </c>
      <c r="BM15" s="622">
        <f t="shared" si="10"/>
        <v>555</v>
      </c>
      <c r="BN15" s="622">
        <f t="shared" si="10"/>
        <v>368</v>
      </c>
      <c r="BO15" s="622">
        <f t="shared" si="10"/>
        <v>555</v>
      </c>
      <c r="BP15" s="622">
        <f t="shared" si="10"/>
        <v>473</v>
      </c>
      <c r="BQ15" s="622">
        <f t="shared" si="10"/>
        <v>755</v>
      </c>
      <c r="BR15" s="622">
        <f t="shared" si="10"/>
        <v>403</v>
      </c>
      <c r="BS15" s="622">
        <f t="shared" si="10"/>
        <v>829</v>
      </c>
      <c r="BT15" s="622">
        <f t="shared" ref="BT15:CH15" si="11">+BT10+BT13</f>
        <v>555</v>
      </c>
      <c r="BU15" s="622">
        <f t="shared" si="11"/>
        <v>829</v>
      </c>
      <c r="BV15" s="622">
        <f t="shared" si="11"/>
        <v>47</v>
      </c>
      <c r="BW15" s="622">
        <f t="shared" si="11"/>
        <v>829</v>
      </c>
      <c r="BX15" s="622">
        <f t="shared" si="11"/>
        <v>35</v>
      </c>
      <c r="BY15" s="622">
        <f t="shared" si="11"/>
        <v>829</v>
      </c>
      <c r="BZ15" s="622">
        <f t="shared" si="11"/>
        <v>434</v>
      </c>
      <c r="CA15" s="622">
        <f t="shared" si="11"/>
        <v>657</v>
      </c>
      <c r="CB15" s="622">
        <f t="shared" si="11"/>
        <v>2342</v>
      </c>
      <c r="CC15" s="622">
        <f t="shared" si="11"/>
        <v>28</v>
      </c>
      <c r="CD15" s="622">
        <v>741</v>
      </c>
      <c r="CE15" s="622">
        <f t="shared" si="11"/>
        <v>7039</v>
      </c>
      <c r="CF15" s="623">
        <f>+BG15+BI15+BK15+BM15+BO15+BQ15+BS15+BU15</f>
        <v>4696</v>
      </c>
      <c r="CG15" s="622">
        <f>+CG10+CG13</f>
        <v>6468</v>
      </c>
      <c r="CH15" s="622">
        <f t="shared" si="11"/>
        <v>7039</v>
      </c>
      <c r="CI15" s="622">
        <f>+CI10+CI13</f>
        <v>6468</v>
      </c>
      <c r="CJ15" s="624">
        <f t="shared" si="9"/>
        <v>7788</v>
      </c>
      <c r="CK15" s="623">
        <f>+CK10+CK13</f>
        <v>99</v>
      </c>
      <c r="CL15" s="622">
        <f t="shared" ref="CL15:EE15" si="12">+CL10+CL13</f>
        <v>99</v>
      </c>
      <c r="CM15" s="623">
        <f t="shared" si="12"/>
        <v>178</v>
      </c>
      <c r="CN15" s="622">
        <f t="shared" si="12"/>
        <v>178</v>
      </c>
      <c r="CO15" s="623">
        <f t="shared" si="12"/>
        <v>600</v>
      </c>
      <c r="CP15" s="623">
        <f>+CP10+CP13</f>
        <v>600</v>
      </c>
      <c r="CQ15" s="623">
        <f t="shared" si="12"/>
        <v>803</v>
      </c>
      <c r="CR15" s="622">
        <f t="shared" si="12"/>
        <v>1206</v>
      </c>
      <c r="CS15" s="625">
        <f t="shared" si="12"/>
        <v>835</v>
      </c>
      <c r="CT15" s="626">
        <f t="shared" si="12"/>
        <v>932</v>
      </c>
      <c r="CU15" s="625">
        <f t="shared" si="12"/>
        <v>830</v>
      </c>
      <c r="CV15" s="625">
        <f t="shared" ref="CV15" si="13">+CV10+CV13</f>
        <v>927</v>
      </c>
      <c r="CW15" s="625">
        <f t="shared" si="12"/>
        <v>830</v>
      </c>
      <c r="CX15" s="625">
        <f t="shared" si="12"/>
        <v>842</v>
      </c>
      <c r="CY15" s="623">
        <f t="shared" si="12"/>
        <v>830</v>
      </c>
      <c r="CZ15" s="622">
        <f>+CZ10+CZ13</f>
        <v>341</v>
      </c>
      <c r="DA15" s="625">
        <f t="shared" si="12"/>
        <v>830</v>
      </c>
      <c r="DB15" s="627">
        <f>+DB10+DB13</f>
        <v>682</v>
      </c>
      <c r="DC15" s="623">
        <f t="shared" si="12"/>
        <v>830</v>
      </c>
      <c r="DD15" s="622">
        <f>+DD10+DD13</f>
        <v>700</v>
      </c>
      <c r="DE15" s="625">
        <f t="shared" si="12"/>
        <v>723</v>
      </c>
      <c r="DF15" s="627">
        <v>814</v>
      </c>
      <c r="DG15" s="625">
        <f t="shared" si="12"/>
        <v>400</v>
      </c>
      <c r="DH15" s="625">
        <f t="shared" si="12"/>
        <v>302</v>
      </c>
      <c r="DI15" s="624">
        <f t="shared" si="3"/>
        <v>7788</v>
      </c>
      <c r="DJ15" s="624">
        <f>+CK15+CM15+CO15+CQ15+CS15+CU15+CW15+CY15+DA15+DC15+DE15+DG15</f>
        <v>7788</v>
      </c>
      <c r="DK15" s="624">
        <f>+CL15+CN15+CP15+CR15+CT15+CV15+CX15+CZ15+DB15+DD15+DF15+DH15</f>
        <v>7623</v>
      </c>
      <c r="DL15" s="624">
        <f>+CK15+CM15+CO15+CQ15+CS15+CU15+CW15+CY15+DA15+DC15+DE15+DG15</f>
        <v>7788</v>
      </c>
      <c r="DM15" s="624">
        <f>+CL15+CN15+CP15+CR15+CT15+CV15+CX15+CZ15+DB15+DD15+DF15+DH15</f>
        <v>7623</v>
      </c>
      <c r="DN15" s="622">
        <f>+DN10+DN13</f>
        <v>2484</v>
      </c>
      <c r="DO15" s="622">
        <f t="shared" si="12"/>
        <v>0</v>
      </c>
      <c r="DP15" s="622">
        <f t="shared" si="12"/>
        <v>0</v>
      </c>
      <c r="DQ15" s="622">
        <f t="shared" si="12"/>
        <v>0</v>
      </c>
      <c r="DR15" s="622">
        <f t="shared" si="12"/>
        <v>0</v>
      </c>
      <c r="DS15" s="622">
        <f t="shared" si="12"/>
        <v>0</v>
      </c>
      <c r="DT15" s="622">
        <f t="shared" si="12"/>
        <v>0</v>
      </c>
      <c r="DU15" s="622">
        <f t="shared" si="12"/>
        <v>0</v>
      </c>
      <c r="DV15" s="622">
        <f t="shared" si="12"/>
        <v>0</v>
      </c>
      <c r="DW15" s="622">
        <f t="shared" si="12"/>
        <v>0</v>
      </c>
      <c r="DX15" s="622">
        <f t="shared" si="12"/>
        <v>0</v>
      </c>
      <c r="DY15" s="622">
        <f t="shared" si="12"/>
        <v>0</v>
      </c>
      <c r="DZ15" s="622">
        <f t="shared" si="12"/>
        <v>0</v>
      </c>
      <c r="EA15" s="622">
        <f t="shared" si="12"/>
        <v>0</v>
      </c>
      <c r="EB15" s="622">
        <f t="shared" si="12"/>
        <v>0</v>
      </c>
      <c r="EC15" s="622">
        <f t="shared" si="12"/>
        <v>0</v>
      </c>
      <c r="ED15" s="622">
        <f t="shared" si="12"/>
        <v>0</v>
      </c>
      <c r="EE15" s="622">
        <f t="shared" si="12"/>
        <v>0</v>
      </c>
      <c r="EF15" s="622">
        <f t="shared" ref="EF15:EQ15" si="14">+EF10+EF13</f>
        <v>0</v>
      </c>
      <c r="EG15" s="622">
        <f t="shared" si="14"/>
        <v>0</v>
      </c>
      <c r="EH15" s="622">
        <f t="shared" si="14"/>
        <v>0</v>
      </c>
      <c r="EI15" s="622">
        <f t="shared" si="14"/>
        <v>0</v>
      </c>
      <c r="EJ15" s="622">
        <f t="shared" si="14"/>
        <v>0</v>
      </c>
      <c r="EK15" s="622">
        <f t="shared" si="14"/>
        <v>0</v>
      </c>
      <c r="EL15" s="622">
        <f t="shared" si="14"/>
        <v>0</v>
      </c>
      <c r="EM15" s="622">
        <f t="shared" si="14"/>
        <v>0</v>
      </c>
      <c r="EN15" s="622">
        <f t="shared" si="14"/>
        <v>0</v>
      </c>
      <c r="EO15" s="622">
        <f t="shared" si="14"/>
        <v>0</v>
      </c>
      <c r="EP15" s="622">
        <f t="shared" si="14"/>
        <v>367</v>
      </c>
      <c r="EQ15" s="622">
        <f t="shared" si="14"/>
        <v>367</v>
      </c>
      <c r="ER15" s="435">
        <f t="shared" si="4"/>
        <v>1.1258644536652835</v>
      </c>
      <c r="ES15" s="436">
        <f t="shared" si="5"/>
        <v>0.97881355932203384</v>
      </c>
      <c r="ET15" s="437">
        <f t="shared" si="6"/>
        <v>0.97881355932203384</v>
      </c>
      <c r="EU15" s="437">
        <f t="shared" si="7"/>
        <v>0.95654666360926388</v>
      </c>
      <c r="EV15" s="437">
        <f t="shared" si="8"/>
        <v>0.86299456943366948</v>
      </c>
      <c r="EW15" s="759"/>
      <c r="EX15" s="810" t="s">
        <v>514</v>
      </c>
      <c r="EY15" s="810" t="s">
        <v>515</v>
      </c>
      <c r="EZ15" s="807"/>
      <c r="FA15" s="805"/>
    </row>
    <row r="16" spans="1:157" s="208" customFormat="1" ht="28.7" customHeight="1" thickBot="1" x14ac:dyDescent="0.3">
      <c r="A16" s="739"/>
      <c r="B16" s="727"/>
      <c r="C16" s="737"/>
      <c r="D16" s="727"/>
      <c r="E16" s="727"/>
      <c r="F16" s="241" t="s">
        <v>44</v>
      </c>
      <c r="G16" s="281">
        <f>G11+G14</f>
        <v>15715408460</v>
      </c>
      <c r="H16" s="282">
        <f t="shared" ref="H16:BS16" si="15">H11+H14</f>
        <v>1160000000</v>
      </c>
      <c r="I16" s="282">
        <f t="shared" si="15"/>
        <v>1160000000</v>
      </c>
      <c r="J16" s="282">
        <f t="shared" si="15"/>
        <v>0</v>
      </c>
      <c r="K16" s="282">
        <f t="shared" si="15"/>
        <v>1160000000</v>
      </c>
      <c r="L16" s="282">
        <f t="shared" si="15"/>
        <v>1160000000</v>
      </c>
      <c r="M16" s="282">
        <f t="shared" si="15"/>
        <v>1174000000</v>
      </c>
      <c r="N16" s="282">
        <f t="shared" si="15"/>
        <v>263148000</v>
      </c>
      <c r="O16" s="282">
        <f t="shared" si="15"/>
        <v>1174000000</v>
      </c>
      <c r="P16" s="282">
        <f t="shared" si="15"/>
        <v>335916000</v>
      </c>
      <c r="Q16" s="282">
        <f t="shared" si="15"/>
        <v>1174000000</v>
      </c>
      <c r="R16" s="282">
        <f t="shared" si="15"/>
        <v>335916000</v>
      </c>
      <c r="S16" s="282">
        <f t="shared" si="15"/>
        <v>1161283347</v>
      </c>
      <c r="T16" s="282">
        <f t="shared" si="15"/>
        <v>335916000</v>
      </c>
      <c r="U16" s="282">
        <f t="shared" si="15"/>
        <v>1161283347</v>
      </c>
      <c r="V16" s="282">
        <f t="shared" si="15"/>
        <v>1132811347</v>
      </c>
      <c r="W16" s="282">
        <f t="shared" si="15"/>
        <v>1161283347</v>
      </c>
      <c r="X16" s="282">
        <f t="shared" si="15"/>
        <v>1161283347</v>
      </c>
      <c r="Y16" s="282">
        <f t="shared" si="15"/>
        <v>1132811347</v>
      </c>
      <c r="Z16" s="282">
        <f t="shared" si="15"/>
        <v>1132811347</v>
      </c>
      <c r="AA16" s="282">
        <f t="shared" si="15"/>
        <v>1132811347</v>
      </c>
      <c r="AB16" s="282">
        <f t="shared" si="15"/>
        <v>2510659380</v>
      </c>
      <c r="AC16" s="282">
        <f t="shared" si="15"/>
        <v>62826934</v>
      </c>
      <c r="AD16" s="282">
        <f t="shared" si="15"/>
        <v>62826934</v>
      </c>
      <c r="AE16" s="282">
        <f t="shared" si="15"/>
        <v>94078655</v>
      </c>
      <c r="AF16" s="282">
        <f t="shared" si="15"/>
        <v>94078655</v>
      </c>
      <c r="AG16" s="282">
        <f t="shared" si="15"/>
        <v>901694458</v>
      </c>
      <c r="AH16" s="282">
        <f t="shared" si="15"/>
        <v>901694458</v>
      </c>
      <c r="AI16" s="282">
        <f t="shared" si="15"/>
        <v>410454000</v>
      </c>
      <c r="AJ16" s="282">
        <f t="shared" si="15"/>
        <v>410454000</v>
      </c>
      <c r="AK16" s="282">
        <f t="shared" si="15"/>
        <v>148982000</v>
      </c>
      <c r="AL16" s="282">
        <f t="shared" si="15"/>
        <v>128226000</v>
      </c>
      <c r="AM16" s="282">
        <f t="shared" si="15"/>
        <v>290425333</v>
      </c>
      <c r="AN16" s="282">
        <f t="shared" si="15"/>
        <v>284793333</v>
      </c>
      <c r="AO16" s="282">
        <f t="shared" si="15"/>
        <v>140828000</v>
      </c>
      <c r="AP16" s="282">
        <f t="shared" si="15"/>
        <v>76255000</v>
      </c>
      <c r="AQ16" s="282">
        <f t="shared" si="15"/>
        <v>273700000</v>
      </c>
      <c r="AR16" s="282">
        <f t="shared" si="15"/>
        <v>210085000</v>
      </c>
      <c r="AS16" s="282">
        <f t="shared" si="15"/>
        <v>75979766</v>
      </c>
      <c r="AT16" s="282">
        <f t="shared" si="15"/>
        <v>75209000</v>
      </c>
      <c r="AU16" s="282">
        <f t="shared" si="15"/>
        <v>0</v>
      </c>
      <c r="AV16" s="282">
        <f t="shared" si="15"/>
        <v>104557000</v>
      </c>
      <c r="AW16" s="282">
        <f t="shared" si="15"/>
        <v>8505733</v>
      </c>
      <c r="AX16" s="282">
        <f t="shared" si="15"/>
        <v>27602567</v>
      </c>
      <c r="AY16" s="282">
        <f t="shared" si="15"/>
        <v>0</v>
      </c>
      <c r="AZ16" s="282">
        <f t="shared" si="15"/>
        <v>11030033</v>
      </c>
      <c r="BA16" s="282">
        <f t="shared" si="15"/>
        <v>2407474879</v>
      </c>
      <c r="BB16" s="282">
        <f t="shared" si="15"/>
        <v>2407474879</v>
      </c>
      <c r="BC16" s="282">
        <f t="shared" si="15"/>
        <v>2386811980</v>
      </c>
      <c r="BD16" s="282">
        <f t="shared" si="15"/>
        <v>2407474879</v>
      </c>
      <c r="BE16" s="282">
        <f t="shared" si="15"/>
        <v>2386811980</v>
      </c>
      <c r="BF16" s="282">
        <f t="shared" si="15"/>
        <v>3113118853</v>
      </c>
      <c r="BG16" s="282">
        <f t="shared" si="15"/>
        <v>2807266139</v>
      </c>
      <c r="BH16" s="282">
        <f t="shared" si="15"/>
        <v>2807266139</v>
      </c>
      <c r="BI16" s="282">
        <f t="shared" si="15"/>
        <v>21547667</v>
      </c>
      <c r="BJ16" s="282">
        <f t="shared" si="15"/>
        <v>21247667</v>
      </c>
      <c r="BK16" s="282">
        <f t="shared" si="15"/>
        <v>17599333</v>
      </c>
      <c r="BL16" s="282">
        <f t="shared" si="15"/>
        <v>32935867</v>
      </c>
      <c r="BM16" s="282">
        <f t="shared" si="15"/>
        <v>20159668</v>
      </c>
      <c r="BN16" s="282">
        <f t="shared" si="15"/>
        <v>16917998</v>
      </c>
      <c r="BO16" s="282">
        <f t="shared" si="15"/>
        <v>6451000</v>
      </c>
      <c r="BP16" s="282">
        <f t="shared" si="15"/>
        <v>3287648</v>
      </c>
      <c r="BQ16" s="282">
        <f t="shared" si="15"/>
        <v>5573866</v>
      </c>
      <c r="BR16" s="282">
        <f t="shared" si="15"/>
        <v>0</v>
      </c>
      <c r="BS16" s="282">
        <f t="shared" si="15"/>
        <v>4000000</v>
      </c>
      <c r="BT16" s="282">
        <f t="shared" ref="BT16:DN16" si="16">BT11+BT14</f>
        <v>59062534</v>
      </c>
      <c r="BU16" s="282">
        <f t="shared" si="16"/>
        <v>4000000</v>
      </c>
      <c r="BV16" s="282">
        <f t="shared" si="16"/>
        <v>98308867</v>
      </c>
      <c r="BW16" s="282">
        <f t="shared" si="16"/>
        <v>83415882</v>
      </c>
      <c r="BX16" s="282">
        <f t="shared" si="16"/>
        <v>18706600</v>
      </c>
      <c r="BY16" s="282">
        <f t="shared" si="16"/>
        <v>0</v>
      </c>
      <c r="BZ16" s="282">
        <f t="shared" si="16"/>
        <v>185433867</v>
      </c>
      <c r="CA16" s="282">
        <f t="shared" si="16"/>
        <v>153874668</v>
      </c>
      <c r="CB16" s="282">
        <f t="shared" si="16"/>
        <v>123557400</v>
      </c>
      <c r="CC16" s="282">
        <f t="shared" si="16"/>
        <v>273933930</v>
      </c>
      <c r="CD16" s="282">
        <f t="shared" si="16"/>
        <v>22696400</v>
      </c>
      <c r="CE16" s="282">
        <f t="shared" si="16"/>
        <v>3397822153</v>
      </c>
      <c r="CF16" s="282">
        <f t="shared" si="16"/>
        <v>3397822153</v>
      </c>
      <c r="CG16" s="282">
        <f t="shared" si="16"/>
        <v>3389420987</v>
      </c>
      <c r="CH16" s="282">
        <f t="shared" si="16"/>
        <v>3397822153</v>
      </c>
      <c r="CI16" s="282">
        <f t="shared" si="16"/>
        <v>3389420987</v>
      </c>
      <c r="CJ16" s="282">
        <f t="shared" si="16"/>
        <v>3999879126</v>
      </c>
      <c r="CK16" s="282">
        <f t="shared" si="16"/>
        <v>1079155636</v>
      </c>
      <c r="CL16" s="282">
        <f t="shared" si="16"/>
        <v>1079155636</v>
      </c>
      <c r="CM16" s="282">
        <f t="shared" si="16"/>
        <v>2038307244</v>
      </c>
      <c r="CN16" s="282">
        <f t="shared" si="16"/>
        <v>2038307244</v>
      </c>
      <c r="CO16" s="282">
        <f t="shared" si="16"/>
        <v>657110933</v>
      </c>
      <c r="CP16" s="282">
        <f t="shared" si="16"/>
        <v>657110933</v>
      </c>
      <c r="CQ16" s="282">
        <f t="shared" si="16"/>
        <v>97127812</v>
      </c>
      <c r="CR16" s="282">
        <f t="shared" si="16"/>
        <v>28121979</v>
      </c>
      <c r="CS16" s="495">
        <f t="shared" si="16"/>
        <v>5427233</v>
      </c>
      <c r="CT16" s="495">
        <f t="shared" si="16"/>
        <v>8688066</v>
      </c>
      <c r="CU16" s="495">
        <f t="shared" si="16"/>
        <v>0</v>
      </c>
      <c r="CV16" s="495">
        <f t="shared" ref="CV16" si="17">CV11+CV14</f>
        <v>5745000</v>
      </c>
      <c r="CW16" s="495">
        <f t="shared" si="16"/>
        <v>0</v>
      </c>
      <c r="CX16" s="495">
        <f t="shared" si="16"/>
        <v>35260500</v>
      </c>
      <c r="CY16" s="282">
        <f t="shared" si="16"/>
        <v>58071433</v>
      </c>
      <c r="CZ16" s="282"/>
      <c r="DA16" s="495">
        <f>DA11+DA14</f>
        <v>0</v>
      </c>
      <c r="DB16" s="495">
        <f>DB11+DB14</f>
        <v>0</v>
      </c>
      <c r="DC16" s="282">
        <f t="shared" si="16"/>
        <v>0</v>
      </c>
      <c r="DD16" s="282">
        <f t="shared" si="16"/>
        <v>0</v>
      </c>
      <c r="DE16" s="495">
        <f t="shared" si="16"/>
        <v>124180855</v>
      </c>
      <c r="DF16" s="495">
        <f t="shared" si="16"/>
        <v>23272033</v>
      </c>
      <c r="DG16" s="495">
        <f t="shared" si="16"/>
        <v>48699000</v>
      </c>
      <c r="DH16" s="495"/>
      <c r="DI16" s="282">
        <f t="shared" si="16"/>
        <v>4108080146</v>
      </c>
      <c r="DJ16" s="282">
        <f t="shared" si="16"/>
        <v>4108080146</v>
      </c>
      <c r="DK16" s="282">
        <f t="shared" si="16"/>
        <v>4056350358</v>
      </c>
      <c r="DL16" s="282">
        <f t="shared" si="16"/>
        <v>4108080146</v>
      </c>
      <c r="DM16" s="282">
        <f t="shared" si="16"/>
        <v>4056350358</v>
      </c>
      <c r="DN16" s="282">
        <f t="shared" si="16"/>
        <v>4698284000</v>
      </c>
      <c r="DO16" s="283">
        <f t="shared" ref="DO16:EQ16" si="18">+DO11+DO14</f>
        <v>0</v>
      </c>
      <c r="DP16" s="283">
        <f t="shared" si="18"/>
        <v>0</v>
      </c>
      <c r="DQ16" s="283">
        <f t="shared" si="18"/>
        <v>0</v>
      </c>
      <c r="DR16" s="283">
        <f t="shared" si="18"/>
        <v>0</v>
      </c>
      <c r="DS16" s="283">
        <f t="shared" si="18"/>
        <v>0</v>
      </c>
      <c r="DT16" s="283">
        <f t="shared" si="18"/>
        <v>0</v>
      </c>
      <c r="DU16" s="283">
        <f t="shared" si="18"/>
        <v>0</v>
      </c>
      <c r="DV16" s="283">
        <f t="shared" si="18"/>
        <v>0</v>
      </c>
      <c r="DW16" s="283">
        <f t="shared" si="18"/>
        <v>0</v>
      </c>
      <c r="DX16" s="283">
        <f t="shared" si="18"/>
        <v>0</v>
      </c>
      <c r="DY16" s="283">
        <f t="shared" si="18"/>
        <v>0</v>
      </c>
      <c r="DZ16" s="283">
        <f t="shared" si="18"/>
        <v>0</v>
      </c>
      <c r="EA16" s="283">
        <f t="shared" si="18"/>
        <v>0</v>
      </c>
      <c r="EB16" s="283">
        <f t="shared" si="18"/>
        <v>0</v>
      </c>
      <c r="EC16" s="283">
        <f t="shared" si="18"/>
        <v>0</v>
      </c>
      <c r="ED16" s="283">
        <f t="shared" si="18"/>
        <v>0</v>
      </c>
      <c r="EE16" s="283">
        <f t="shared" si="18"/>
        <v>0</v>
      </c>
      <c r="EF16" s="283">
        <f t="shared" si="18"/>
        <v>0</v>
      </c>
      <c r="EG16" s="283">
        <f t="shared" si="18"/>
        <v>0</v>
      </c>
      <c r="EH16" s="283">
        <f t="shared" si="18"/>
        <v>0</v>
      </c>
      <c r="EI16" s="283">
        <f t="shared" si="18"/>
        <v>0</v>
      </c>
      <c r="EJ16" s="283">
        <f t="shared" si="18"/>
        <v>0</v>
      </c>
      <c r="EK16" s="283">
        <f t="shared" si="18"/>
        <v>0</v>
      </c>
      <c r="EL16" s="283">
        <f t="shared" si="18"/>
        <v>0</v>
      </c>
      <c r="EM16" s="283">
        <f t="shared" si="18"/>
        <v>0</v>
      </c>
      <c r="EN16" s="283">
        <f t="shared" si="18"/>
        <v>0</v>
      </c>
      <c r="EO16" s="283">
        <f t="shared" si="18"/>
        <v>0</v>
      </c>
      <c r="EP16" s="283">
        <f t="shared" si="18"/>
        <v>0</v>
      </c>
      <c r="EQ16" s="283">
        <f t="shared" si="18"/>
        <v>0</v>
      </c>
      <c r="ER16" s="284">
        <f t="shared" si="4"/>
        <v>0.18740435472118469</v>
      </c>
      <c r="ES16" s="285">
        <f>+DK16/DJ16</f>
        <v>0.98740779484295871</v>
      </c>
      <c r="ET16" s="286">
        <f>+DM16/DL16</f>
        <v>0.98740779484295871</v>
      </c>
      <c r="EU16" s="286">
        <f>+(AA16+BE16+CI16+DK16)/(Z16+BD16+CH16+DJ16)</f>
        <v>0.99268581621460239</v>
      </c>
      <c r="EV16" s="287">
        <f t="shared" si="8"/>
        <v>0.69774799044580482</v>
      </c>
      <c r="EW16" s="808"/>
      <c r="EX16" s="810" t="s">
        <v>514</v>
      </c>
      <c r="EY16" s="810" t="s">
        <v>515</v>
      </c>
      <c r="EZ16" s="807"/>
      <c r="FA16" s="805"/>
    </row>
    <row r="17" spans="1:157" s="209" customFormat="1" ht="28.7" customHeight="1" x14ac:dyDescent="0.25">
      <c r="A17" s="739"/>
      <c r="B17" s="728">
        <v>2</v>
      </c>
      <c r="C17" s="735" t="s">
        <v>291</v>
      </c>
      <c r="D17" s="728" t="s">
        <v>262</v>
      </c>
      <c r="E17" s="728">
        <v>524</v>
      </c>
      <c r="F17" s="239" t="s">
        <v>40</v>
      </c>
      <c r="G17" s="628">
        <f>AA17+BE17+CI17+DL17+DN17</f>
        <v>100</v>
      </c>
      <c r="H17" s="629">
        <v>10</v>
      </c>
      <c r="I17" s="629">
        <v>10</v>
      </c>
      <c r="J17" s="629">
        <v>0</v>
      </c>
      <c r="K17" s="629">
        <v>10</v>
      </c>
      <c r="L17" s="629">
        <v>0</v>
      </c>
      <c r="M17" s="629">
        <v>10</v>
      </c>
      <c r="N17" s="630">
        <v>0.65</v>
      </c>
      <c r="O17" s="629">
        <v>10</v>
      </c>
      <c r="P17" s="630">
        <v>2.35</v>
      </c>
      <c r="Q17" s="629">
        <v>10</v>
      </c>
      <c r="R17" s="631">
        <v>4.9000000000000004</v>
      </c>
      <c r="S17" s="629">
        <v>10</v>
      </c>
      <c r="T17" s="630">
        <v>7.45</v>
      </c>
      <c r="U17" s="629">
        <v>10</v>
      </c>
      <c r="V17" s="629">
        <v>10</v>
      </c>
      <c r="W17" s="288">
        <f>+U17</f>
        <v>10</v>
      </c>
      <c r="X17" s="629">
        <f t="shared" ref="X17:Y21" si="19">+U17</f>
        <v>10</v>
      </c>
      <c r="Y17" s="629">
        <f t="shared" si="19"/>
        <v>10</v>
      </c>
      <c r="Z17" s="629">
        <f>+V17</f>
        <v>10</v>
      </c>
      <c r="AA17" s="629">
        <f>+V17</f>
        <v>10</v>
      </c>
      <c r="AB17" s="629">
        <v>12</v>
      </c>
      <c r="AC17" s="630">
        <v>0.42</v>
      </c>
      <c r="AD17" s="630">
        <v>0.42</v>
      </c>
      <c r="AE17" s="630">
        <v>0.12</v>
      </c>
      <c r="AF17" s="630">
        <v>0.12</v>
      </c>
      <c r="AG17" s="630">
        <v>0.68</v>
      </c>
      <c r="AH17" s="630">
        <v>0.68</v>
      </c>
      <c r="AI17" s="630">
        <v>1.5</v>
      </c>
      <c r="AJ17" s="630">
        <v>1.5</v>
      </c>
      <c r="AK17" s="630">
        <v>1.5</v>
      </c>
      <c r="AL17" s="630">
        <v>1.5</v>
      </c>
      <c r="AM17" s="630">
        <v>1.5</v>
      </c>
      <c r="AN17" s="630">
        <v>1.5</v>
      </c>
      <c r="AO17" s="630">
        <v>1.5</v>
      </c>
      <c r="AP17" s="630">
        <v>1.5</v>
      </c>
      <c r="AQ17" s="630">
        <v>1.5</v>
      </c>
      <c r="AR17" s="630">
        <v>1.5</v>
      </c>
      <c r="AS17" s="630">
        <v>1.5</v>
      </c>
      <c r="AT17" s="630">
        <v>1.5</v>
      </c>
      <c r="AU17" s="630">
        <v>1.44</v>
      </c>
      <c r="AV17" s="630">
        <v>1.44</v>
      </c>
      <c r="AW17" s="630">
        <v>0.28000000000000003</v>
      </c>
      <c r="AX17" s="630">
        <v>0.19</v>
      </c>
      <c r="AY17" s="630">
        <v>0.06</v>
      </c>
      <c r="AZ17" s="630">
        <v>0.15</v>
      </c>
      <c r="BA17" s="629">
        <f>AY17+AW17+AU17+AS17+AO17+AM17+AK17+AI17+AG17+AE17+AQ17+AC17</f>
        <v>12</v>
      </c>
      <c r="BB17" s="630">
        <f>+AE17+AG17+AI17+AK17+AC17+AM17+AO17+AQ17+AS17+AU17++AW17+AY17</f>
        <v>11.999999999999998</v>
      </c>
      <c r="BC17" s="630">
        <f>AD17+AF17+AH17+AJ17+AL17+AN17+AP17+AR17+AT17+AV17+AX17+AZ17</f>
        <v>12</v>
      </c>
      <c r="BD17" s="629">
        <f>+AC17+AE17+AG17+AI17+AK17+AM17+AO17+AQ17+AS17+AU17+AW17+AY17</f>
        <v>12</v>
      </c>
      <c r="BE17" s="630">
        <f>+AD17+AF17+AH17+AJ17+AL17+AN17+AP17+AR17+AT17+AV17+AX17+AZ17</f>
        <v>12</v>
      </c>
      <c r="BF17" s="632">
        <v>21</v>
      </c>
      <c r="BG17" s="289">
        <v>0.56000000000000005</v>
      </c>
      <c r="BH17" s="289">
        <v>0.56000000000000005</v>
      </c>
      <c r="BI17" s="289">
        <v>1.86</v>
      </c>
      <c r="BJ17" s="289">
        <v>1.86</v>
      </c>
      <c r="BK17" s="630">
        <v>1.86</v>
      </c>
      <c r="BL17" s="630">
        <v>1.86</v>
      </c>
      <c r="BM17" s="630">
        <v>1.86</v>
      </c>
      <c r="BN17" s="630">
        <v>1.86</v>
      </c>
      <c r="BO17" s="630">
        <v>1.86</v>
      </c>
      <c r="BP17" s="630">
        <v>1.86</v>
      </c>
      <c r="BQ17" s="630">
        <v>3.91</v>
      </c>
      <c r="BR17" s="630">
        <v>1.86</v>
      </c>
      <c r="BS17" s="632">
        <v>3.53</v>
      </c>
      <c r="BT17" s="632">
        <v>1.86</v>
      </c>
      <c r="BU17" s="632">
        <v>1.9</v>
      </c>
      <c r="BV17" s="632">
        <v>1.86</v>
      </c>
      <c r="BW17" s="632">
        <v>1</v>
      </c>
      <c r="BX17" s="632">
        <v>1.67</v>
      </c>
      <c r="BY17" s="632">
        <v>1</v>
      </c>
      <c r="BZ17" s="632">
        <v>0.75</v>
      </c>
      <c r="CA17" s="632">
        <v>1</v>
      </c>
      <c r="CB17" s="632">
        <v>4.34</v>
      </c>
      <c r="CC17" s="630">
        <v>0.66</v>
      </c>
      <c r="CD17" s="629">
        <v>0.66</v>
      </c>
      <c r="CE17" s="633">
        <f>CC17+CA17+BY17+BW17+BS17+BQ17+BO17+BM17+BK17+BI17+BU17+BG17</f>
        <v>20.999999999999996</v>
      </c>
      <c r="CF17" s="633">
        <f>+BG17+BI17+BK17+BM17+BO17+BQ17+BS17+BU17+BW17+BY17+CA17</f>
        <v>20.34</v>
      </c>
      <c r="CG17" s="633">
        <f>BH17+BJ17+BL17+BN17+BP17+BR17+BT17+BV17+BX17+BZ17+CB17+CD17</f>
        <v>20.999999999999996</v>
      </c>
      <c r="CH17" s="633">
        <f>+BG17+BI17+BK17+BM17+BO17+BQ17+BS17+BU17+BW17+BY17+CA17+CC17</f>
        <v>21</v>
      </c>
      <c r="CI17" s="633">
        <f>+BH17+BJ17+BL17+BN17+BP17+BR17+BT17++BV17+BZ17+CB17+CD17+BX17</f>
        <v>21</v>
      </c>
      <c r="CJ17" s="633">
        <v>36</v>
      </c>
      <c r="CK17" s="633">
        <v>0</v>
      </c>
      <c r="CL17" s="630">
        <v>0</v>
      </c>
      <c r="CM17" s="290">
        <v>1.33</v>
      </c>
      <c r="CN17" s="290">
        <v>1.33</v>
      </c>
      <c r="CO17" s="290">
        <v>1.22</v>
      </c>
      <c r="CP17" s="290">
        <v>1.22</v>
      </c>
      <c r="CQ17" s="290">
        <v>3.49</v>
      </c>
      <c r="CR17" s="290">
        <v>3.49</v>
      </c>
      <c r="CS17" s="634">
        <v>3.62</v>
      </c>
      <c r="CT17" s="634">
        <v>3.62</v>
      </c>
      <c r="CU17" s="634">
        <v>3.87</v>
      </c>
      <c r="CV17" s="634">
        <v>3.87</v>
      </c>
      <c r="CW17" s="634">
        <v>3.87</v>
      </c>
      <c r="CX17" s="634">
        <v>3.87</v>
      </c>
      <c r="CY17" s="635">
        <v>3.87</v>
      </c>
      <c r="CZ17" s="635">
        <v>3.87</v>
      </c>
      <c r="DA17" s="634">
        <v>3.87</v>
      </c>
      <c r="DB17" s="634">
        <v>3.87</v>
      </c>
      <c r="DC17" s="290">
        <v>3.87</v>
      </c>
      <c r="DD17" s="290">
        <v>3.87</v>
      </c>
      <c r="DE17" s="634">
        <v>3.87</v>
      </c>
      <c r="DF17" s="634">
        <v>3.87</v>
      </c>
      <c r="DG17" s="634">
        <v>3.12</v>
      </c>
      <c r="DH17" s="634">
        <v>3.12</v>
      </c>
      <c r="DI17" s="633">
        <f t="shared" ref="DI17:DI22" si="20">+CK17+CM17+CO17+CQ17+CS17+CU17+CW17+CY17+DA17+DC17+DE17+DG17</f>
        <v>36</v>
      </c>
      <c r="DJ17" s="633">
        <f t="shared" ref="DJ17:DK19" si="21">+CK17+CM17+CO17+CQ17+CS17+CU17+CW17+CY17+DA17+DC17+DE17+DG17</f>
        <v>36</v>
      </c>
      <c r="DK17" s="633">
        <f t="shared" si="21"/>
        <v>36</v>
      </c>
      <c r="DL17" s="636">
        <f>+CK17+CM17+CO17+CQ17+CS17+CU17+CW17+CY17+DA17+DC17+DE17+DG17</f>
        <v>36</v>
      </c>
      <c r="DM17" s="633">
        <f>+CL17+CN17+CP17+CR17+CT17+CV17+CX17+CZ17+DB17+DD17+DF17+DH17</f>
        <v>36</v>
      </c>
      <c r="DN17" s="633">
        <v>21</v>
      </c>
      <c r="DO17" s="630"/>
      <c r="DP17" s="630"/>
      <c r="DQ17" s="630"/>
      <c r="DR17" s="630"/>
      <c r="DS17" s="630"/>
      <c r="DT17" s="630"/>
      <c r="DU17" s="630"/>
      <c r="DV17" s="630"/>
      <c r="DW17" s="630"/>
      <c r="DX17" s="630"/>
      <c r="DY17" s="630"/>
      <c r="DZ17" s="630"/>
      <c r="EA17" s="630"/>
      <c r="EB17" s="630"/>
      <c r="EC17" s="630"/>
      <c r="ED17" s="630"/>
      <c r="EE17" s="630"/>
      <c r="EF17" s="630"/>
      <c r="EG17" s="629"/>
      <c r="EH17" s="629"/>
      <c r="EI17" s="629"/>
      <c r="EJ17" s="629"/>
      <c r="EK17" s="629"/>
      <c r="EL17" s="629"/>
      <c r="EM17" s="629">
        <f>EK17+EI17+EG17+EE17+EC17+EA17+DY17+DW17+DU17+DS17+DQ17+DO17</f>
        <v>0</v>
      </c>
      <c r="EN17" s="629">
        <f t="shared" ref="EN17:EO21" si="22">DO17+DQ17+DS17+DU17</f>
        <v>0</v>
      </c>
      <c r="EO17" s="629">
        <f t="shared" si="22"/>
        <v>0</v>
      </c>
      <c r="EP17" s="291">
        <f>DQ17+DS17+DU17+DW17+DY17+EA17+EC17+EE17+EG17+EI17+EK17+DO17</f>
        <v>0</v>
      </c>
      <c r="EQ17" s="629">
        <f>DP17+DR17+DT17+DV17</f>
        <v>0</v>
      </c>
      <c r="ER17" s="292">
        <f t="shared" si="4"/>
        <v>1</v>
      </c>
      <c r="ES17" s="293">
        <f t="shared" si="5"/>
        <v>1</v>
      </c>
      <c r="ET17" s="294">
        <f t="shared" si="6"/>
        <v>1</v>
      </c>
      <c r="EU17" s="294">
        <f t="shared" si="7"/>
        <v>1</v>
      </c>
      <c r="EV17" s="294">
        <f t="shared" si="8"/>
        <v>0.79</v>
      </c>
      <c r="EW17" s="759" t="s">
        <v>529</v>
      </c>
      <c r="EX17" s="756" t="s">
        <v>68</v>
      </c>
      <c r="EY17" s="756" t="s">
        <v>68</v>
      </c>
      <c r="EZ17" s="807" t="s">
        <v>309</v>
      </c>
      <c r="FA17" s="805" t="s">
        <v>535</v>
      </c>
    </row>
    <row r="18" spans="1:157" s="208" customFormat="1" ht="28.7" customHeight="1" x14ac:dyDescent="0.25">
      <c r="A18" s="739"/>
      <c r="B18" s="727"/>
      <c r="C18" s="736"/>
      <c r="D18" s="727"/>
      <c r="E18" s="727"/>
      <c r="F18" s="207" t="s">
        <v>3</v>
      </c>
      <c r="G18" s="610">
        <f>AA18+BE18+CI18+DL18+DN18</f>
        <v>1058316667</v>
      </c>
      <c r="H18" s="295">
        <v>104500000</v>
      </c>
      <c r="I18" s="295">
        <v>104500000</v>
      </c>
      <c r="J18" s="295">
        <v>0</v>
      </c>
      <c r="K18" s="295">
        <v>104500000</v>
      </c>
      <c r="L18" s="295">
        <v>0</v>
      </c>
      <c r="M18" s="295">
        <v>104500000</v>
      </c>
      <c r="N18" s="295">
        <v>83456000</v>
      </c>
      <c r="O18" s="295">
        <v>104500000</v>
      </c>
      <c r="P18" s="295">
        <v>83456000</v>
      </c>
      <c r="Q18" s="295">
        <v>104500000</v>
      </c>
      <c r="R18" s="295">
        <v>83456000</v>
      </c>
      <c r="S18" s="296">
        <v>104500000</v>
      </c>
      <c r="T18" s="297">
        <v>83456000</v>
      </c>
      <c r="U18" s="298">
        <v>104500000</v>
      </c>
      <c r="V18" s="298">
        <v>103088000</v>
      </c>
      <c r="W18" s="299">
        <f>+U18</f>
        <v>104500000</v>
      </c>
      <c r="X18" s="637">
        <f t="shared" si="19"/>
        <v>104500000</v>
      </c>
      <c r="Y18" s="637">
        <f t="shared" si="19"/>
        <v>103088000</v>
      </c>
      <c r="Z18" s="610">
        <f>+V18</f>
        <v>103088000</v>
      </c>
      <c r="AA18" s="610">
        <f>+V18</f>
        <v>103088000</v>
      </c>
      <c r="AB18" s="610">
        <v>273987000</v>
      </c>
      <c r="AC18" s="610">
        <v>0</v>
      </c>
      <c r="AD18" s="610">
        <v>0</v>
      </c>
      <c r="AE18" s="610">
        <v>147922000</v>
      </c>
      <c r="AF18" s="610">
        <v>147922000</v>
      </c>
      <c r="AG18" s="610">
        <f>190321000-AE18</f>
        <v>42399000</v>
      </c>
      <c r="AH18" s="610">
        <v>42399000</v>
      </c>
      <c r="AI18" s="610">
        <f>260113000-AG18-AE18</f>
        <v>69792000</v>
      </c>
      <c r="AJ18" s="610">
        <v>69792000</v>
      </c>
      <c r="AK18" s="610">
        <v>0</v>
      </c>
      <c r="AL18" s="610">
        <v>0</v>
      </c>
      <c r="AM18" s="610">
        <v>0</v>
      </c>
      <c r="AN18" s="610">
        <v>0</v>
      </c>
      <c r="AO18" s="610">
        <v>0</v>
      </c>
      <c r="AP18" s="610">
        <v>0</v>
      </c>
      <c r="AQ18" s="610">
        <v>0</v>
      </c>
      <c r="AR18" s="610">
        <v>0</v>
      </c>
      <c r="AS18" s="610">
        <v>16009200</v>
      </c>
      <c r="AT18" s="610">
        <f>260975767-AR18-AP18-AN18-AL18-AJ18-AH18-AF18-AD18</f>
        <v>862767</v>
      </c>
      <c r="AU18" s="610">
        <v>16131567</v>
      </c>
      <c r="AV18" s="610">
        <f>269621767-AT18-AR18-AP18-AN18-AL18-AJ18-AH18-AF18-AD18</f>
        <v>8646000</v>
      </c>
      <c r="AW18" s="610">
        <f>12797000-2806686</f>
        <v>9990314</v>
      </c>
      <c r="AX18" s="610">
        <f>292155302+2100000-AV18-AR18-AT18-AP18-AN18-AL18-AJ18-AH18-AF18-AD18</f>
        <v>24633535</v>
      </c>
      <c r="AY18" s="610">
        <v>0</v>
      </c>
      <c r="AZ18" s="610">
        <v>-2100000</v>
      </c>
      <c r="BA18" s="610">
        <f>AY18+AW18+AU18+AS18+AO18+AM18+AK18+AI18+AG18+AE18+AQ18+AC18</f>
        <v>302244081</v>
      </c>
      <c r="BB18" s="610">
        <f>+AE18+AG18+AI18+AK18+AC18+AM18+AO18+AQ18+AS18+AU18+AW18+AY18</f>
        <v>302244081</v>
      </c>
      <c r="BC18" s="610">
        <f>AD18+AF18+AH18+AJ18+AL18+AN18+AP18+AR18+AT18+AV18+AX18+AZ18</f>
        <v>292155302</v>
      </c>
      <c r="BD18" s="610">
        <f t="shared" ref="BD18:BE21" si="23">+AC18+AE18+AG18+AI18+AK18+AM18+AO18+AQ18+AS18+AU18+AW18+AY18</f>
        <v>302244081</v>
      </c>
      <c r="BE18" s="610">
        <f t="shared" si="23"/>
        <v>292155302</v>
      </c>
      <c r="BF18" s="610">
        <v>661689000</v>
      </c>
      <c r="BG18" s="610">
        <v>236994000</v>
      </c>
      <c r="BH18" s="610">
        <v>236994000</v>
      </c>
      <c r="BI18" s="610">
        <v>0</v>
      </c>
      <c r="BJ18" s="610">
        <v>0</v>
      </c>
      <c r="BK18" s="610">
        <v>0</v>
      </c>
      <c r="BL18" s="610">
        <v>0</v>
      </c>
      <c r="BM18" s="610">
        <v>0</v>
      </c>
      <c r="BN18" s="610">
        <v>0</v>
      </c>
      <c r="BO18" s="610">
        <v>0</v>
      </c>
      <c r="BP18" s="610">
        <v>0</v>
      </c>
      <c r="BQ18" s="610">
        <v>0</v>
      </c>
      <c r="BR18" s="610">
        <v>0</v>
      </c>
      <c r="BS18" s="610">
        <v>0</v>
      </c>
      <c r="BT18" s="610">
        <v>0</v>
      </c>
      <c r="BU18" s="610">
        <v>0</v>
      </c>
      <c r="BV18" s="610">
        <v>0</v>
      </c>
      <c r="BW18" s="610">
        <v>0</v>
      </c>
      <c r="BX18" s="610">
        <v>0</v>
      </c>
      <c r="BY18" s="610">
        <v>0</v>
      </c>
      <c r="BZ18" s="610">
        <v>6499200</v>
      </c>
      <c r="CA18" s="610">
        <f>11281100-42900</f>
        <v>11238200</v>
      </c>
      <c r="CB18" s="610">
        <v>4739000</v>
      </c>
      <c r="CC18" s="610">
        <v>0</v>
      </c>
      <c r="CD18" s="610">
        <v>0</v>
      </c>
      <c r="CE18" s="610">
        <f>CC18+CA18+BY18+BW18+BS18+BQ18+BO18+BM18+BK18+BI18+BU18+BG18</f>
        <v>248232200</v>
      </c>
      <c r="CF18" s="610">
        <f>+BG18+BI18+BK18+BM18+BO18+BQ18+BS18+BU18+BW18+BY18+CA18+CC18</f>
        <v>248232200</v>
      </c>
      <c r="CG18" s="610">
        <f>BH18+BJ18+BL18+BN18+BP18+BR18+BT18+BV18+BX18+BZ18+CB18+CD18</f>
        <v>248232200</v>
      </c>
      <c r="CH18" s="610">
        <f>+BG18+BI18+BK18+BM18+BO18+BQ18+BS18+BU18+BW18+BY18+CA18+CC18</f>
        <v>248232200</v>
      </c>
      <c r="CI18" s="610">
        <f>+BH18+BJ18+BL18+BN18+BP18+BR18+BT18+BV18+BX18+BZ18+CB18+CD18</f>
        <v>248232200</v>
      </c>
      <c r="CJ18" s="610">
        <v>185106165</v>
      </c>
      <c r="CK18" s="610">
        <v>54837000</v>
      </c>
      <c r="CL18" s="610">
        <v>54837000</v>
      </c>
      <c r="CM18" s="610">
        <v>18279000</v>
      </c>
      <c r="CN18" s="610">
        <v>18279000</v>
      </c>
      <c r="CO18" s="610">
        <v>103152000</v>
      </c>
      <c r="CP18" s="610">
        <v>103152000</v>
      </c>
      <c r="CQ18" s="610">
        <v>0</v>
      </c>
      <c r="CR18" s="610">
        <v>0</v>
      </c>
      <c r="CS18" s="611">
        <v>0</v>
      </c>
      <c r="CT18" s="485">
        <v>0</v>
      </c>
      <c r="CU18" s="611">
        <v>0</v>
      </c>
      <c r="CV18" s="611">
        <v>0</v>
      </c>
      <c r="CW18" s="611">
        <v>0</v>
      </c>
      <c r="CX18" s="611">
        <v>0</v>
      </c>
      <c r="CY18" s="610">
        <v>0</v>
      </c>
      <c r="CZ18" s="610">
        <v>0</v>
      </c>
      <c r="DA18" s="611">
        <v>0</v>
      </c>
      <c r="DB18" s="611">
        <v>0</v>
      </c>
      <c r="DC18" s="610">
        <v>0</v>
      </c>
      <c r="DD18" s="610">
        <v>5582665</v>
      </c>
      <c r="DE18" s="611">
        <v>0</v>
      </c>
      <c r="DF18" s="611">
        <v>3255500</v>
      </c>
      <c r="DG18" s="611">
        <v>8838165</v>
      </c>
      <c r="DH18" s="611">
        <v>0</v>
      </c>
      <c r="DI18" s="610">
        <f t="shared" si="20"/>
        <v>185106165</v>
      </c>
      <c r="DJ18" s="610">
        <f t="shared" si="21"/>
        <v>185106165</v>
      </c>
      <c r="DK18" s="610">
        <f t="shared" si="21"/>
        <v>185106165</v>
      </c>
      <c r="DL18" s="610">
        <f>DI18</f>
        <v>185106165</v>
      </c>
      <c r="DM18" s="610">
        <f>+CL18+CN18+CP18+CR18+CT18+CV18+CX18+CZ18+DB18+DD18+DF18+DH18</f>
        <v>185106165</v>
      </c>
      <c r="DN18" s="610">
        <v>229735000</v>
      </c>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637">
        <f>EK18+EI18+EG18+EE18+EC18+EA18+DY18+DW18+DU18+DS18+DQ18+DO18</f>
        <v>0</v>
      </c>
      <c r="EN18" s="300">
        <f t="shared" si="22"/>
        <v>0</v>
      </c>
      <c r="EO18" s="300">
        <f t="shared" si="22"/>
        <v>0</v>
      </c>
      <c r="EP18" s="297">
        <f>DQ18+DS18+DU18+DW18+DY18+EA18+EC18+EE18+EG18+EI18+EK18+DO18</f>
        <v>0</v>
      </c>
      <c r="EQ18" s="300">
        <f>DP18+DR18+DT18+DV18</f>
        <v>0</v>
      </c>
      <c r="ER18" s="273">
        <f>IFERROR(DF18/DE18,0)</f>
        <v>0</v>
      </c>
      <c r="ES18" s="274">
        <f t="shared" si="5"/>
        <v>1</v>
      </c>
      <c r="ET18" s="275">
        <f t="shared" si="6"/>
        <v>1</v>
      </c>
      <c r="EU18" s="275">
        <f t="shared" si="7"/>
        <v>0.98797050850173873</v>
      </c>
      <c r="EV18" s="275">
        <f t="shared" si="8"/>
        <v>0.78292414060601767</v>
      </c>
      <c r="EW18" s="759"/>
      <c r="EX18" s="757"/>
      <c r="EY18" s="757"/>
      <c r="EZ18" s="807"/>
      <c r="FA18" s="805"/>
    </row>
    <row r="19" spans="1:157" s="208" customFormat="1" ht="28.7" customHeight="1" x14ac:dyDescent="0.25">
      <c r="A19" s="739"/>
      <c r="B19" s="727"/>
      <c r="C19" s="736"/>
      <c r="D19" s="727"/>
      <c r="E19" s="727"/>
      <c r="F19" s="175" t="s">
        <v>191</v>
      </c>
      <c r="G19" s="610"/>
      <c r="H19" s="295"/>
      <c r="I19" s="295"/>
      <c r="J19" s="295"/>
      <c r="K19" s="295"/>
      <c r="L19" s="295"/>
      <c r="M19" s="295"/>
      <c r="N19" s="295"/>
      <c r="O19" s="295"/>
      <c r="P19" s="295"/>
      <c r="Q19" s="295"/>
      <c r="R19" s="295"/>
      <c r="S19" s="296"/>
      <c r="T19" s="297"/>
      <c r="U19" s="298"/>
      <c r="V19" s="298"/>
      <c r="W19" s="299">
        <f>+U19</f>
        <v>0</v>
      </c>
      <c r="X19" s="637">
        <f t="shared" si="19"/>
        <v>0</v>
      </c>
      <c r="Y19" s="637">
        <f t="shared" si="19"/>
        <v>0</v>
      </c>
      <c r="Z19" s="637">
        <f>+V19</f>
        <v>0</v>
      </c>
      <c r="AA19" s="637">
        <f>+V19</f>
        <v>0</v>
      </c>
      <c r="AB19" s="298">
        <v>272910000</v>
      </c>
      <c r="AC19" s="295">
        <v>0</v>
      </c>
      <c r="AD19" s="295">
        <v>0</v>
      </c>
      <c r="AE19" s="295">
        <v>0</v>
      </c>
      <c r="AF19" s="295">
        <v>0</v>
      </c>
      <c r="AG19" s="295">
        <v>6272966</v>
      </c>
      <c r="AH19" s="295">
        <v>6272966</v>
      </c>
      <c r="AI19" s="295">
        <v>19936933</v>
      </c>
      <c r="AJ19" s="295">
        <v>19936933</v>
      </c>
      <c r="AK19" s="295">
        <f>47577899-AI19-AG19</f>
        <v>21368000</v>
      </c>
      <c r="AL19" s="295">
        <v>21368000</v>
      </c>
      <c r="AM19" s="295">
        <v>31546000</v>
      </c>
      <c r="AN19" s="295">
        <f>79123899-AL19-AJ19-AH19-AF19-AD19</f>
        <v>31546000</v>
      </c>
      <c r="AO19" s="295">
        <v>30092000</v>
      </c>
      <c r="AP19" s="295">
        <f>108552232-AN19-AL19-AJ19-AH19-AF19-AD19</f>
        <v>29428333</v>
      </c>
      <c r="AQ19" s="295">
        <v>30092000</v>
      </c>
      <c r="AR19" s="295">
        <f>138644232-AP19-AN19-AL19-AJ19-AH19-AF19-AD19</f>
        <v>30092000</v>
      </c>
      <c r="AS19" s="295">
        <v>30092000</v>
      </c>
      <c r="AT19" s="295">
        <f>168736232-AR19-AP19-AN19-AL19-AJ19-AH19-AF19</f>
        <v>30092000</v>
      </c>
      <c r="AU19" s="295">
        <v>30092000</v>
      </c>
      <c r="AV19" s="295">
        <f>198828232-AT19-AR19-AP19-AN19-AL19-AJ19-AH19-AF19-AD19</f>
        <v>30092000</v>
      </c>
      <c r="AW19" s="295">
        <v>30092000</v>
      </c>
      <c r="AX19" s="295">
        <f>228920232-AV19-AT19-AR19-AP19-AN19-AL19-AJ19-AH19-AF19-AD19</f>
        <v>30092000</v>
      </c>
      <c r="AY19" s="295">
        <f>30529101+12797000+16009200+13324881</f>
        <v>72660182</v>
      </c>
      <c r="AZ19" s="295">
        <f>272590201-AX19-AV19-AT19-AR19-AP19-AN19-AL19-AJ19-AH19-AF19-AD19</f>
        <v>43669969</v>
      </c>
      <c r="BA19" s="637">
        <f>AY19+AW19+AU19+AS19+AO19+AM19+AK19+AI19+AG19+AE19+AQ19+AC19</f>
        <v>302244081</v>
      </c>
      <c r="BB19" s="637">
        <f>+AE19+AG19+AI19+AK19+AC19+AM19+AO19+AQ19+AS19+AU19+AW19+AY19</f>
        <v>302244081</v>
      </c>
      <c r="BC19" s="637">
        <f>AD19+AF19+AH19+AJ19+AL19+AN19+AP19+AR19+AT19+AV19+AX19+AZ19</f>
        <v>272590201</v>
      </c>
      <c r="BD19" s="637">
        <f t="shared" si="23"/>
        <v>302244081</v>
      </c>
      <c r="BE19" s="637">
        <f t="shared" si="23"/>
        <v>272590201</v>
      </c>
      <c r="BF19" s="300">
        <v>661689000</v>
      </c>
      <c r="BG19" s="295">
        <v>0</v>
      </c>
      <c r="BH19" s="295">
        <v>0</v>
      </c>
      <c r="BI19" s="295">
        <v>1624800</v>
      </c>
      <c r="BJ19" s="295">
        <v>1624800</v>
      </c>
      <c r="BK19" s="295">
        <v>25027000</v>
      </c>
      <c r="BL19" s="295">
        <f>21536900-BJ19</f>
        <v>19912100</v>
      </c>
      <c r="BM19" s="295">
        <v>25027000</v>
      </c>
      <c r="BN19" s="295">
        <f>46883100-BL19-BJ19-BH19</f>
        <v>25346200</v>
      </c>
      <c r="BO19" s="295">
        <v>25027000</v>
      </c>
      <c r="BP19" s="295">
        <f>70314100-BN19-BL19-BJ19-BH19</f>
        <v>23431000</v>
      </c>
      <c r="BQ19" s="295">
        <f>25027000</f>
        <v>25027000</v>
      </c>
      <c r="BR19" s="295">
        <v>26623000</v>
      </c>
      <c r="BS19" s="295">
        <v>25027000</v>
      </c>
      <c r="BT19" s="277">
        <v>23427000</v>
      </c>
      <c r="BU19" s="295">
        <f>25027000</f>
        <v>25027000</v>
      </c>
      <c r="BV19" s="295">
        <v>26627000</v>
      </c>
      <c r="BW19" s="295">
        <v>25027000</v>
      </c>
      <c r="BX19" s="295">
        <v>25027000</v>
      </c>
      <c r="BY19" s="295">
        <f>25027000</f>
        <v>25027000</v>
      </c>
      <c r="BZ19" s="295">
        <v>25027000</v>
      </c>
      <c r="CA19" s="295">
        <f>24553100-42900</f>
        <v>24510200</v>
      </c>
      <c r="CB19" s="295">
        <v>25027000</v>
      </c>
      <c r="CC19" s="295">
        <v>21881200</v>
      </c>
      <c r="CD19" s="295">
        <v>23877600</v>
      </c>
      <c r="CE19" s="637">
        <f>CC19+CA19+BY19+BW19+BS19+BQ19+BO19+BM19+BK19+BI19+BU19+BG19</f>
        <v>248232200</v>
      </c>
      <c r="CF19" s="637">
        <f>+BI19+BK19+BM19+BO19+BG19+BQ19+BS19+BU19+BW19+BY19+CA19+CC19</f>
        <v>248232200</v>
      </c>
      <c r="CG19" s="637">
        <f>BH19+BJ19+BL19+BN19+BP19+BR19+BT19+BV19+BX19+BZ19+CB19</f>
        <v>222072100</v>
      </c>
      <c r="CH19" s="637">
        <f>+BG19+BI19+BK19+BM19+BO19+BQ19+BS19+BU19+BW19+BY19+CA19+CC19</f>
        <v>248232200</v>
      </c>
      <c r="CI19" s="637">
        <f>+BH19+BJ19+BL19+BN19+BP19+BR19+BT19+BV19+BX19+BZ19+CB19+CD19</f>
        <v>245949700</v>
      </c>
      <c r="CJ19" s="612">
        <f>+CK19+CM19+CO19+CQ19+CS19+CU19+CW19+CY19+DA19+DC19+DE19+DG19</f>
        <v>185106165</v>
      </c>
      <c r="CK19" s="295">
        <v>0</v>
      </c>
      <c r="CL19" s="295">
        <v>0</v>
      </c>
      <c r="CM19" s="278">
        <v>0</v>
      </c>
      <c r="CN19" s="295">
        <v>0</v>
      </c>
      <c r="CO19" s="295">
        <v>7243900</v>
      </c>
      <c r="CP19" s="295">
        <v>7243900</v>
      </c>
      <c r="CQ19" s="278">
        <v>15347933</v>
      </c>
      <c r="CR19" s="295">
        <v>13824533</v>
      </c>
      <c r="CS19" s="486">
        <v>18947000</v>
      </c>
      <c r="CT19" s="611">
        <v>18947000</v>
      </c>
      <c r="CU19" s="486">
        <v>18947000</v>
      </c>
      <c r="CV19" s="486">
        <v>18947000</v>
      </c>
      <c r="CW19" s="486">
        <v>18947000</v>
      </c>
      <c r="CX19" s="487">
        <v>18947000</v>
      </c>
      <c r="CY19" s="488">
        <v>18947000</v>
      </c>
      <c r="CZ19" s="489">
        <v>18947000</v>
      </c>
      <c r="DA19" s="486">
        <v>18947000</v>
      </c>
      <c r="DB19" s="487">
        <v>18947000</v>
      </c>
      <c r="DC19" s="278">
        <v>18947000</v>
      </c>
      <c r="DD19" s="295">
        <v>19113665</v>
      </c>
      <c r="DE19" s="486">
        <v>18947000</v>
      </c>
      <c r="DF19" s="487">
        <v>17322200</v>
      </c>
      <c r="DG19" s="487">
        <v>29885332</v>
      </c>
      <c r="DH19" s="638">
        <v>20630000</v>
      </c>
      <c r="DI19" s="612">
        <f t="shared" si="20"/>
        <v>185106165</v>
      </c>
      <c r="DJ19" s="637">
        <f t="shared" si="21"/>
        <v>185106165</v>
      </c>
      <c r="DK19" s="612">
        <f t="shared" si="21"/>
        <v>172869298</v>
      </c>
      <c r="DL19" s="612">
        <f>+CK19+CM19+CO19+CQ19+CS19+CU19+CW19+CY19+DA19+DC19+DE19+DG19</f>
        <v>185106165</v>
      </c>
      <c r="DM19" s="637">
        <f>+CL19+CN19+CP19+CT19+CV19+CX19+CZ19+DB19+DD19+DF19+CR19+DH19</f>
        <v>172869298</v>
      </c>
      <c r="DN19" s="278"/>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637">
        <f>EI19+EG19+EE19+EC19+EA19+DY19+DW19+DU19+DS19+DQ19+DO19+EK19</f>
        <v>0</v>
      </c>
      <c r="EN19" s="300">
        <f t="shared" si="22"/>
        <v>0</v>
      </c>
      <c r="EO19" s="300">
        <f t="shared" si="22"/>
        <v>0</v>
      </c>
      <c r="EP19" s="297">
        <f>DQ19+DS19+DU19+DW19+DY19+EA19+EC19+EE19+EG19+EI19+EK19</f>
        <v>0</v>
      </c>
      <c r="EQ19" s="300">
        <f>DP19+DR19+DT19+DV19</f>
        <v>0</v>
      </c>
      <c r="ER19" s="273">
        <f t="shared" si="4"/>
        <v>0.91424499920831792</v>
      </c>
      <c r="ES19" s="274">
        <f t="shared" si="5"/>
        <v>0.9338927096242311</v>
      </c>
      <c r="ET19" s="275">
        <f t="shared" si="6"/>
        <v>0.9338927096242311</v>
      </c>
      <c r="EU19" s="275">
        <f t="shared" si="7"/>
        <v>0.93994793209081007</v>
      </c>
      <c r="EV19" s="275">
        <f>IFERROR((BE19+AA19+CI19+DM19)/G19,0)</f>
        <v>0</v>
      </c>
      <c r="EW19" s="759"/>
      <c r="EX19" s="757"/>
      <c r="EY19" s="757"/>
      <c r="EZ19" s="807"/>
      <c r="FA19" s="805"/>
    </row>
    <row r="20" spans="1:157" s="212" customFormat="1" ht="28.7" customHeight="1" x14ac:dyDescent="0.25">
      <c r="A20" s="739"/>
      <c r="B20" s="727"/>
      <c r="C20" s="736"/>
      <c r="D20" s="727"/>
      <c r="E20" s="727"/>
      <c r="F20" s="213" t="s">
        <v>41</v>
      </c>
      <c r="G20" s="613">
        <f>AA20+BE20+CI20+DL20+DN20</f>
        <v>0</v>
      </c>
      <c r="H20" s="614">
        <v>0</v>
      </c>
      <c r="I20" s="614">
        <v>0</v>
      </c>
      <c r="J20" s="614">
        <v>0</v>
      </c>
      <c r="K20" s="614">
        <v>0</v>
      </c>
      <c r="L20" s="614">
        <v>0</v>
      </c>
      <c r="M20" s="614">
        <v>0</v>
      </c>
      <c r="N20" s="614">
        <v>0</v>
      </c>
      <c r="O20" s="614">
        <v>0</v>
      </c>
      <c r="P20" s="614">
        <v>0</v>
      </c>
      <c r="Q20" s="614">
        <v>0</v>
      </c>
      <c r="R20" s="614">
        <v>0</v>
      </c>
      <c r="S20" s="614">
        <v>0</v>
      </c>
      <c r="T20" s="614">
        <v>0</v>
      </c>
      <c r="U20" s="614">
        <v>0</v>
      </c>
      <c r="V20" s="614">
        <v>0</v>
      </c>
      <c r="W20" s="271">
        <f>+U20</f>
        <v>0</v>
      </c>
      <c r="X20" s="604">
        <f t="shared" si="19"/>
        <v>0</v>
      </c>
      <c r="Y20" s="604">
        <f t="shared" si="19"/>
        <v>0</v>
      </c>
      <c r="Z20" s="604">
        <f>+V20</f>
        <v>0</v>
      </c>
      <c r="AA20" s="604">
        <f>+V20</f>
        <v>0</v>
      </c>
      <c r="AB20" s="614">
        <v>0</v>
      </c>
      <c r="AC20" s="614">
        <v>0</v>
      </c>
      <c r="AD20" s="614">
        <v>0</v>
      </c>
      <c r="AE20" s="614">
        <v>0</v>
      </c>
      <c r="AF20" s="614">
        <v>0</v>
      </c>
      <c r="AG20" s="614">
        <v>0</v>
      </c>
      <c r="AH20" s="614">
        <v>0</v>
      </c>
      <c r="AI20" s="614">
        <v>0</v>
      </c>
      <c r="AJ20" s="614">
        <v>0</v>
      </c>
      <c r="AK20" s="614">
        <v>0</v>
      </c>
      <c r="AL20" s="614">
        <v>0</v>
      </c>
      <c r="AM20" s="614">
        <v>0</v>
      </c>
      <c r="AN20" s="614">
        <v>0</v>
      </c>
      <c r="AO20" s="614">
        <v>0</v>
      </c>
      <c r="AP20" s="614">
        <v>0</v>
      </c>
      <c r="AQ20" s="614">
        <v>0</v>
      </c>
      <c r="AR20" s="614">
        <v>0</v>
      </c>
      <c r="AS20" s="614">
        <v>0</v>
      </c>
      <c r="AT20" s="614">
        <v>0</v>
      </c>
      <c r="AU20" s="614">
        <v>0</v>
      </c>
      <c r="AV20" s="614">
        <v>0</v>
      </c>
      <c r="AW20" s="614">
        <v>0</v>
      </c>
      <c r="AX20" s="614">
        <v>0</v>
      </c>
      <c r="AY20" s="614">
        <v>0</v>
      </c>
      <c r="AZ20" s="614"/>
      <c r="BA20" s="604">
        <f>AY20+AW20+AU20+AS20+AO20+AM20+AK20+AI20+AG20+AE20+AQ20+AC20</f>
        <v>0</v>
      </c>
      <c r="BB20" s="604">
        <f>+AE20+AG20+AI20+AK20+AC20+AM20</f>
        <v>0</v>
      </c>
      <c r="BC20" s="604">
        <f>AD20+AF20+AH20+AJ20+AL20+AN20</f>
        <v>0</v>
      </c>
      <c r="BD20" s="604">
        <f t="shared" si="23"/>
        <v>0</v>
      </c>
      <c r="BE20" s="604">
        <f t="shared" si="23"/>
        <v>0</v>
      </c>
      <c r="BF20" s="272">
        <v>0</v>
      </c>
      <c r="BG20" s="272">
        <v>0</v>
      </c>
      <c r="BH20" s="272">
        <v>0</v>
      </c>
      <c r="BI20" s="272">
        <v>0</v>
      </c>
      <c r="BJ20" s="272">
        <v>0</v>
      </c>
      <c r="BK20" s="272">
        <v>0</v>
      </c>
      <c r="BL20" s="272">
        <v>0</v>
      </c>
      <c r="BM20" s="272">
        <v>0</v>
      </c>
      <c r="BN20" s="272">
        <v>0</v>
      </c>
      <c r="BO20" s="272">
        <v>0</v>
      </c>
      <c r="BP20" s="272">
        <v>0</v>
      </c>
      <c r="BQ20" s="272">
        <v>0</v>
      </c>
      <c r="BR20" s="272">
        <v>0</v>
      </c>
      <c r="BS20" s="272">
        <v>0</v>
      </c>
      <c r="BT20" s="277">
        <v>0</v>
      </c>
      <c r="BU20" s="272">
        <v>0</v>
      </c>
      <c r="BV20" s="272">
        <v>0</v>
      </c>
      <c r="BW20" s="272">
        <v>0</v>
      </c>
      <c r="BX20" s="272">
        <v>0</v>
      </c>
      <c r="BY20" s="272">
        <v>0</v>
      </c>
      <c r="BZ20" s="272">
        <v>0</v>
      </c>
      <c r="CA20" s="272">
        <v>0</v>
      </c>
      <c r="CB20" s="272">
        <v>0</v>
      </c>
      <c r="CC20" s="272">
        <v>0</v>
      </c>
      <c r="CD20" s="272">
        <v>0</v>
      </c>
      <c r="CE20" s="301">
        <f>CC20+CA20+BY20+BW20+BS20+BQ20+BO20+BM20+BK20+BI20+BU20+BG20</f>
        <v>0</v>
      </c>
      <c r="CF20" s="604">
        <f>+BG20+BI20+BK20+BM20+BO20+BQ20+BS20+BU20</f>
        <v>0</v>
      </c>
      <c r="CG20" s="279">
        <f>BH20+BJ20+BL20+BN20+BP20+BR20+BT20+BV20+BX20+BZ20+CB20+CD20</f>
        <v>0</v>
      </c>
      <c r="CH20" s="301">
        <f>+BG20+BI20+BK20+BM20+BO20+BQ20+BS20+BU20+BW20+BY20+CA20+CC20</f>
        <v>0</v>
      </c>
      <c r="CI20" s="301">
        <f>+BH20+BJ20+BL20+BN20+BP20+BR20+BT20+BV20+BX20+BZ20+CB20+CD20</f>
        <v>0</v>
      </c>
      <c r="CJ20" s="609">
        <f>+CK20+CM20+CO20+CQ20+CS20+CU20+CW20+CY20+DA20+DC20+DE20+DG20</f>
        <v>0</v>
      </c>
      <c r="CK20" s="639">
        <v>0</v>
      </c>
      <c r="CL20" s="639">
        <v>0</v>
      </c>
      <c r="CM20" s="614">
        <v>0</v>
      </c>
      <c r="CN20" s="614">
        <v>0</v>
      </c>
      <c r="CO20" s="614">
        <v>0</v>
      </c>
      <c r="CP20" s="614">
        <v>0</v>
      </c>
      <c r="CQ20" s="614">
        <v>0</v>
      </c>
      <c r="CR20" s="614">
        <v>0</v>
      </c>
      <c r="CS20" s="640">
        <v>0</v>
      </c>
      <c r="CT20" s="640">
        <v>0</v>
      </c>
      <c r="CU20" s="640">
        <v>0</v>
      </c>
      <c r="CV20" s="640">
        <v>0</v>
      </c>
      <c r="CW20" s="640">
        <v>0</v>
      </c>
      <c r="CX20" s="640">
        <v>0</v>
      </c>
      <c r="CY20" s="614">
        <v>0</v>
      </c>
      <c r="CZ20" s="614">
        <v>0</v>
      </c>
      <c r="DA20" s="640">
        <v>0</v>
      </c>
      <c r="DB20" s="640">
        <v>0</v>
      </c>
      <c r="DC20" s="614">
        <v>0</v>
      </c>
      <c r="DD20" s="614">
        <v>0</v>
      </c>
      <c r="DE20" s="640">
        <v>0</v>
      </c>
      <c r="DF20" s="640">
        <v>0</v>
      </c>
      <c r="DG20" s="640">
        <v>0</v>
      </c>
      <c r="DH20" s="640">
        <v>0</v>
      </c>
      <c r="DI20" s="604">
        <f t="shared" si="20"/>
        <v>0</v>
      </c>
      <c r="DJ20" s="604">
        <f>+CK20+CM20+CO20+CQ20+CS20+CU20+CW20+CY20+DA20+DC20+DE20+DG20</f>
        <v>0</v>
      </c>
      <c r="DK20" s="604">
        <f>+CL20+CN20+CP20+CR20+CT20+CV20+CZ20+DB20+DD20+DF20+DH20</f>
        <v>0</v>
      </c>
      <c r="DL20" s="609">
        <f>+CK20+CM20+CO20+CQ20+CS20+CU20+CW20+CY20+DA20+DC20+DE20+DG20</f>
        <v>0</v>
      </c>
      <c r="DM20" s="604">
        <f>+CL20+CN20+CP20+CR20+CT20+CV20+CX20+CZ20+DB20+DD20+DF20+DH20</f>
        <v>0</v>
      </c>
      <c r="DN20" s="620"/>
      <c r="DO20" s="614"/>
      <c r="DP20" s="614"/>
      <c r="DQ20" s="614"/>
      <c r="DR20" s="614"/>
      <c r="DS20" s="614"/>
      <c r="DT20" s="614"/>
      <c r="DU20" s="614"/>
      <c r="DV20" s="614"/>
      <c r="DW20" s="614"/>
      <c r="DX20" s="614"/>
      <c r="DY20" s="614"/>
      <c r="DZ20" s="614"/>
      <c r="EA20" s="614"/>
      <c r="EB20" s="614"/>
      <c r="EC20" s="614"/>
      <c r="ED20" s="614"/>
      <c r="EE20" s="614"/>
      <c r="EF20" s="614"/>
      <c r="EG20" s="614"/>
      <c r="EH20" s="614"/>
      <c r="EI20" s="614"/>
      <c r="EJ20" s="614"/>
      <c r="EK20" s="614"/>
      <c r="EL20" s="614"/>
      <c r="EM20" s="604">
        <f>EI20+EG20+EE20+EC20+EA20+DY20+DW20+DU20+DS20+DQ20+DO20+EK20</f>
        <v>0</v>
      </c>
      <c r="EN20" s="302">
        <f t="shared" si="22"/>
        <v>0</v>
      </c>
      <c r="EO20" s="302">
        <f t="shared" si="22"/>
        <v>0</v>
      </c>
      <c r="EP20" s="303">
        <f>DQ20+DS20+DU20+DW20+DY20+EA20+EC20+EE20+EG20+EI20+EK20</f>
        <v>0</v>
      </c>
      <c r="EQ20" s="604">
        <f>DP20+DR20+DT20+DV20</f>
        <v>0</v>
      </c>
      <c r="ER20" s="273">
        <f>IFERROR(DF20/DE20,0)</f>
        <v>0</v>
      </c>
      <c r="ES20" s="274">
        <f>IFERROR(+DK20/DJ20,0)</f>
        <v>0</v>
      </c>
      <c r="ET20" s="275">
        <f>IFERROR(+DM20/DL20,0)</f>
        <v>0</v>
      </c>
      <c r="EU20" s="275">
        <f>IFERROR(+(AA20+BE20+CI20+DK20)/(Z20+BD20+CH20+DJ20),0)</f>
        <v>0</v>
      </c>
      <c r="EV20" s="275">
        <f>IFERROR((BE20+AA20+CI20+DM20)/G20,0)</f>
        <v>0</v>
      </c>
      <c r="EW20" s="759"/>
      <c r="EX20" s="756"/>
      <c r="EY20" s="756"/>
      <c r="EZ20" s="807"/>
      <c r="FA20" s="805"/>
    </row>
    <row r="21" spans="1:157" s="209" customFormat="1" ht="28.7" customHeight="1" x14ac:dyDescent="0.25">
      <c r="A21" s="739"/>
      <c r="B21" s="727"/>
      <c r="C21" s="736"/>
      <c r="D21" s="727"/>
      <c r="E21" s="727"/>
      <c r="F21" s="207" t="s">
        <v>4</v>
      </c>
      <c r="G21" s="610">
        <f>AA21+BE21+CI21+DL21+DN21</f>
        <v>57092935</v>
      </c>
      <c r="H21" s="619">
        <v>0</v>
      </c>
      <c r="I21" s="619">
        <v>0</v>
      </c>
      <c r="J21" s="619">
        <v>0</v>
      </c>
      <c r="K21" s="619">
        <v>0</v>
      </c>
      <c r="L21" s="619">
        <v>0</v>
      </c>
      <c r="M21" s="619">
        <v>0</v>
      </c>
      <c r="N21" s="619">
        <v>0</v>
      </c>
      <c r="O21" s="619">
        <v>0</v>
      </c>
      <c r="P21" s="619">
        <v>0</v>
      </c>
      <c r="Q21" s="619">
        <v>0</v>
      </c>
      <c r="R21" s="619">
        <v>0</v>
      </c>
      <c r="S21" s="619">
        <v>0</v>
      </c>
      <c r="T21" s="619">
        <v>0</v>
      </c>
      <c r="U21" s="619">
        <v>0</v>
      </c>
      <c r="V21" s="619">
        <v>0</v>
      </c>
      <c r="W21" s="304">
        <f>+U21</f>
        <v>0</v>
      </c>
      <c r="X21" s="641">
        <f t="shared" si="19"/>
        <v>0</v>
      </c>
      <c r="Y21" s="641">
        <f t="shared" si="19"/>
        <v>0</v>
      </c>
      <c r="Z21" s="610">
        <f>+V21</f>
        <v>0</v>
      </c>
      <c r="AA21" s="610">
        <f>+V21</f>
        <v>0</v>
      </c>
      <c r="AB21" s="610">
        <v>35245334</v>
      </c>
      <c r="AC21" s="610">
        <v>15615200</v>
      </c>
      <c r="AD21" s="610">
        <v>15615200</v>
      </c>
      <c r="AE21" s="610">
        <f>31258667-AC21</f>
        <v>15643467</v>
      </c>
      <c r="AF21" s="610">
        <v>15643467</v>
      </c>
      <c r="AG21" s="610">
        <f>35245334-AE21-AC21</f>
        <v>3986667</v>
      </c>
      <c r="AH21" s="610">
        <v>3986667</v>
      </c>
      <c r="AI21" s="610">
        <v>0</v>
      </c>
      <c r="AJ21" s="610">
        <v>0</v>
      </c>
      <c r="AK21" s="610">
        <v>0</v>
      </c>
      <c r="AL21" s="610">
        <v>0</v>
      </c>
      <c r="AM21" s="610">
        <v>0</v>
      </c>
      <c r="AN21" s="610">
        <v>0</v>
      </c>
      <c r="AO21" s="610">
        <v>0</v>
      </c>
      <c r="AP21" s="610">
        <v>0</v>
      </c>
      <c r="AQ21" s="610">
        <v>0</v>
      </c>
      <c r="AR21" s="610">
        <v>0</v>
      </c>
      <c r="AS21" s="610">
        <v>0</v>
      </c>
      <c r="AT21" s="610">
        <v>0</v>
      </c>
      <c r="AU21" s="610">
        <v>0</v>
      </c>
      <c r="AV21" s="610">
        <v>0</v>
      </c>
      <c r="AW21" s="610">
        <v>0</v>
      </c>
      <c r="AX21" s="610">
        <v>0</v>
      </c>
      <c r="AY21" s="610">
        <v>0</v>
      </c>
      <c r="AZ21" s="610">
        <v>0</v>
      </c>
      <c r="BA21" s="610">
        <f>AY21+AW21+AU21+AS21+AO21+AM21+AK21+AI21+AG21+AE21+AQ21+AC21</f>
        <v>35245334</v>
      </c>
      <c r="BB21" s="610">
        <f>+AE21+AG21+AI21+AK21+AC21+AM21+AO21+AQ21+AS21+AU21</f>
        <v>35245334</v>
      </c>
      <c r="BC21" s="610">
        <f>AD21+AF21+AH21+AJ21+AL21+AN21+AP21+AR21+AT21+AV21</f>
        <v>35245334</v>
      </c>
      <c r="BD21" s="610">
        <f t="shared" si="23"/>
        <v>35245334</v>
      </c>
      <c r="BE21" s="610">
        <f t="shared" si="23"/>
        <v>35245334</v>
      </c>
      <c r="BF21" s="610">
        <v>19565101</v>
      </c>
      <c r="BG21" s="610">
        <v>14809801</v>
      </c>
      <c r="BH21" s="610">
        <v>14809801</v>
      </c>
      <c r="BI21" s="610">
        <v>4755300</v>
      </c>
      <c r="BJ21" s="610">
        <v>4755300</v>
      </c>
      <c r="BK21" s="610">
        <v>0</v>
      </c>
      <c r="BL21" s="610">
        <v>0</v>
      </c>
      <c r="BM21" s="610">
        <v>0</v>
      </c>
      <c r="BN21" s="610">
        <v>0</v>
      </c>
      <c r="BO21" s="610">
        <v>0</v>
      </c>
      <c r="BP21" s="610">
        <v>0</v>
      </c>
      <c r="BQ21" s="610">
        <v>0</v>
      </c>
      <c r="BR21" s="610">
        <v>0</v>
      </c>
      <c r="BS21" s="610"/>
      <c r="BT21" s="610">
        <v>0</v>
      </c>
      <c r="BU21" s="610"/>
      <c r="BV21" s="610">
        <v>0</v>
      </c>
      <c r="BW21" s="610">
        <v>0</v>
      </c>
      <c r="BX21" s="610">
        <v>0</v>
      </c>
      <c r="BY21" s="610">
        <v>0</v>
      </c>
      <c r="BZ21" s="610">
        <v>0</v>
      </c>
      <c r="CA21" s="610">
        <v>0</v>
      </c>
      <c r="CB21" s="610">
        <v>0</v>
      </c>
      <c r="CC21" s="610"/>
      <c r="CD21" s="610">
        <v>0</v>
      </c>
      <c r="CE21" s="610">
        <f>CC21+CA21+BY21+BW21+BS21+BQ21+BO21+BM21+BK21+BI21+BU21+BG21</f>
        <v>19565101</v>
      </c>
      <c r="CF21" s="610">
        <f>+BI21+BK21+BM21+BO21+BG21+BQ21+BS21+BU21+BW21</f>
        <v>19565101</v>
      </c>
      <c r="CG21" s="610">
        <f>BH21+BJ21+BL21+BN21+BP21+BR21+BT21+BV21+BX21+BZ21</f>
        <v>19565101</v>
      </c>
      <c r="CH21" s="610">
        <f>+BG21+BI21+BK21+BM21+BO21+BQ21+BS21+BU21+BW21+BY21+CA21+CC21</f>
        <v>19565101</v>
      </c>
      <c r="CI21" s="610">
        <f>+BH21+BJ21+BL21+BN21+BP21+BR21+BT21+BV21+BX21+BZ21+CB21+CD21</f>
        <v>19565101</v>
      </c>
      <c r="CJ21" s="610">
        <f>+CK21+CM21+CO21+CQ21+CS21+CU21+CW21+CY21+DA21+DC21+DE21+DG21</f>
        <v>2282500</v>
      </c>
      <c r="CK21" s="610">
        <v>1083200</v>
      </c>
      <c r="CL21" s="610">
        <v>1083200</v>
      </c>
      <c r="CM21" s="610">
        <v>880100</v>
      </c>
      <c r="CN21" s="610">
        <v>880100</v>
      </c>
      <c r="CO21" s="610">
        <v>0</v>
      </c>
      <c r="CP21" s="610">
        <v>0</v>
      </c>
      <c r="CQ21" s="610">
        <v>0</v>
      </c>
      <c r="CR21" s="610">
        <v>0</v>
      </c>
      <c r="CS21" s="611">
        <v>319200</v>
      </c>
      <c r="CT21" s="485">
        <v>0</v>
      </c>
      <c r="CU21" s="611">
        <v>0</v>
      </c>
      <c r="CV21" s="611">
        <v>0</v>
      </c>
      <c r="CW21" s="611">
        <v>0</v>
      </c>
      <c r="CX21" s="611">
        <v>0</v>
      </c>
      <c r="CY21" s="610">
        <v>0</v>
      </c>
      <c r="CZ21" s="610">
        <v>0</v>
      </c>
      <c r="DA21" s="611">
        <v>0</v>
      </c>
      <c r="DB21" s="611">
        <v>0</v>
      </c>
      <c r="DC21" s="610">
        <v>0</v>
      </c>
      <c r="DD21" s="610">
        <v>0</v>
      </c>
      <c r="DE21" s="611">
        <v>0</v>
      </c>
      <c r="DF21" s="611">
        <v>0</v>
      </c>
      <c r="DG21" s="611">
        <v>0</v>
      </c>
      <c r="DH21" s="611">
        <v>0</v>
      </c>
      <c r="DI21" s="610">
        <f t="shared" si="20"/>
        <v>2282500</v>
      </c>
      <c r="DJ21" s="610">
        <f>+CK21+CM21+CO21+CQ21+CS21+CU21+CW21+CY21+DA21+DC21+DE21+DG21</f>
        <v>2282500</v>
      </c>
      <c r="DK21" s="610">
        <f>+CL21+CN21+CP21+CR21+CT21+CV21+CX21+CZ21+DB21+DD21+DF21+DH21</f>
        <v>1963300</v>
      </c>
      <c r="DL21" s="610">
        <f>+CK21+CM21+CO21+CQ21+CS21+CU21+CW21+CY21+DA21+DC21+DE21+DG21</f>
        <v>2282500</v>
      </c>
      <c r="DM21" s="610">
        <f>+CL21+CN21+CP21+CR21+CT21+CV21+CX21+CZ21+DB21+DD21+DF21+DH21</f>
        <v>1963300</v>
      </c>
      <c r="DN21" s="610"/>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639">
        <f>EI21+EG21+EE21+EC21+EA21+DY21+DW21+DU21+DS21+DQ21+DO21+EK21</f>
        <v>0</v>
      </c>
      <c r="EN21" s="278">
        <f t="shared" si="22"/>
        <v>0</v>
      </c>
      <c r="EO21" s="278">
        <f t="shared" si="22"/>
        <v>0</v>
      </c>
      <c r="EP21" s="305">
        <f>DQ21+DS21+DU21+DW21+DY21+EA21+EC21+EE21+EG21+EI21+EK21+DO21</f>
        <v>0</v>
      </c>
      <c r="EQ21" s="278">
        <f>DP21+DR21+DT21+DV21</f>
        <v>0</v>
      </c>
      <c r="ER21" s="273">
        <f>IFERROR(DF21/DE21,0)</f>
        <v>0</v>
      </c>
      <c r="ES21" s="274">
        <f t="shared" si="5"/>
        <v>0.86015334063526838</v>
      </c>
      <c r="ET21" s="275">
        <f t="shared" si="6"/>
        <v>0.86015334063526838</v>
      </c>
      <c r="EU21" s="275">
        <f t="shared" si="7"/>
        <v>0.99440911559372447</v>
      </c>
      <c r="EV21" s="275">
        <f t="shared" si="8"/>
        <v>0.99440911559372447</v>
      </c>
      <c r="EW21" s="759"/>
      <c r="EX21" s="757"/>
      <c r="EY21" s="757"/>
      <c r="EZ21" s="807"/>
      <c r="FA21" s="805"/>
    </row>
    <row r="22" spans="1:157" s="209" customFormat="1" ht="28.7" customHeight="1" thickBot="1" x14ac:dyDescent="0.3">
      <c r="A22" s="739"/>
      <c r="B22" s="727"/>
      <c r="C22" s="736"/>
      <c r="D22" s="727"/>
      <c r="E22" s="727"/>
      <c r="F22" s="214" t="s">
        <v>42</v>
      </c>
      <c r="G22" s="621">
        <f>G17+G20</f>
        <v>100</v>
      </c>
      <c r="H22" s="438">
        <f t="shared" ref="H22:BT22" si="24">+H17+H20</f>
        <v>10</v>
      </c>
      <c r="I22" s="438">
        <f t="shared" si="24"/>
        <v>10</v>
      </c>
      <c r="J22" s="438">
        <f t="shared" si="24"/>
        <v>0</v>
      </c>
      <c r="K22" s="438">
        <f t="shared" si="24"/>
        <v>10</v>
      </c>
      <c r="L22" s="438">
        <f t="shared" si="24"/>
        <v>0</v>
      </c>
      <c r="M22" s="438">
        <f t="shared" si="24"/>
        <v>10</v>
      </c>
      <c r="N22" s="438">
        <f t="shared" si="24"/>
        <v>0.65</v>
      </c>
      <c r="O22" s="438">
        <f t="shared" si="24"/>
        <v>10</v>
      </c>
      <c r="P22" s="438">
        <f t="shared" si="24"/>
        <v>2.35</v>
      </c>
      <c r="Q22" s="438">
        <f t="shared" si="24"/>
        <v>10</v>
      </c>
      <c r="R22" s="438">
        <f t="shared" si="24"/>
        <v>4.9000000000000004</v>
      </c>
      <c r="S22" s="438">
        <f t="shared" si="24"/>
        <v>10</v>
      </c>
      <c r="T22" s="438">
        <f t="shared" si="24"/>
        <v>7.45</v>
      </c>
      <c r="U22" s="438">
        <f t="shared" si="24"/>
        <v>10</v>
      </c>
      <c r="V22" s="438">
        <f t="shared" si="24"/>
        <v>10</v>
      </c>
      <c r="W22" s="438">
        <f t="shared" si="24"/>
        <v>10</v>
      </c>
      <c r="X22" s="438">
        <f t="shared" si="24"/>
        <v>10</v>
      </c>
      <c r="Y22" s="438">
        <f t="shared" si="24"/>
        <v>10</v>
      </c>
      <c r="Z22" s="438">
        <f t="shared" si="24"/>
        <v>10</v>
      </c>
      <c r="AA22" s="438">
        <f t="shared" si="24"/>
        <v>10</v>
      </c>
      <c r="AB22" s="438">
        <f t="shared" si="24"/>
        <v>12</v>
      </c>
      <c r="AC22" s="439">
        <f t="shared" si="24"/>
        <v>0.42</v>
      </c>
      <c r="AD22" s="439">
        <f t="shared" si="24"/>
        <v>0.42</v>
      </c>
      <c r="AE22" s="439">
        <f t="shared" si="24"/>
        <v>0.12</v>
      </c>
      <c r="AF22" s="439">
        <f t="shared" si="24"/>
        <v>0.12</v>
      </c>
      <c r="AG22" s="439">
        <f t="shared" si="24"/>
        <v>0.68</v>
      </c>
      <c r="AH22" s="439">
        <f t="shared" si="24"/>
        <v>0.68</v>
      </c>
      <c r="AI22" s="439">
        <f t="shared" si="24"/>
        <v>1.5</v>
      </c>
      <c r="AJ22" s="439">
        <f t="shared" si="24"/>
        <v>1.5</v>
      </c>
      <c r="AK22" s="438">
        <f t="shared" si="24"/>
        <v>1.5</v>
      </c>
      <c r="AL22" s="438">
        <f t="shared" si="24"/>
        <v>1.5</v>
      </c>
      <c r="AM22" s="438">
        <f t="shared" si="24"/>
        <v>1.5</v>
      </c>
      <c r="AN22" s="439">
        <f t="shared" si="24"/>
        <v>1.5</v>
      </c>
      <c r="AO22" s="438">
        <f t="shared" si="24"/>
        <v>1.5</v>
      </c>
      <c r="AP22" s="438">
        <f t="shared" si="24"/>
        <v>1.5</v>
      </c>
      <c r="AQ22" s="438">
        <f t="shared" si="24"/>
        <v>1.5</v>
      </c>
      <c r="AR22" s="438">
        <f t="shared" si="24"/>
        <v>1.5</v>
      </c>
      <c r="AS22" s="438">
        <f t="shared" si="24"/>
        <v>1.5</v>
      </c>
      <c r="AT22" s="438">
        <f t="shared" si="24"/>
        <v>1.5</v>
      </c>
      <c r="AU22" s="438">
        <f t="shared" si="24"/>
        <v>1.44</v>
      </c>
      <c r="AV22" s="438">
        <f t="shared" si="24"/>
        <v>1.44</v>
      </c>
      <c r="AW22" s="438">
        <f t="shared" si="24"/>
        <v>0.28000000000000003</v>
      </c>
      <c r="AX22" s="438">
        <f t="shared" si="24"/>
        <v>0.19</v>
      </c>
      <c r="AY22" s="438">
        <f t="shared" si="24"/>
        <v>0.06</v>
      </c>
      <c r="AZ22" s="438">
        <f t="shared" si="24"/>
        <v>0.15</v>
      </c>
      <c r="BA22" s="438">
        <f t="shared" si="24"/>
        <v>12</v>
      </c>
      <c r="BB22" s="642">
        <f t="shared" si="24"/>
        <v>11.999999999999998</v>
      </c>
      <c r="BC22" s="642">
        <f t="shared" ref="BC22:BF22" si="25">+BC17+BC20</f>
        <v>12</v>
      </c>
      <c r="BD22" s="622">
        <f t="shared" si="25"/>
        <v>12</v>
      </c>
      <c r="BE22" s="622">
        <f t="shared" si="25"/>
        <v>12</v>
      </c>
      <c r="BF22" s="438">
        <f t="shared" si="25"/>
        <v>21</v>
      </c>
      <c r="BG22" s="439">
        <f t="shared" si="24"/>
        <v>0.56000000000000005</v>
      </c>
      <c r="BH22" s="439">
        <f t="shared" si="24"/>
        <v>0.56000000000000005</v>
      </c>
      <c r="BI22" s="439">
        <f t="shared" si="24"/>
        <v>1.86</v>
      </c>
      <c r="BJ22" s="439">
        <f t="shared" si="24"/>
        <v>1.86</v>
      </c>
      <c r="BK22" s="439">
        <f t="shared" si="24"/>
        <v>1.86</v>
      </c>
      <c r="BL22" s="439">
        <f t="shared" si="24"/>
        <v>1.86</v>
      </c>
      <c r="BM22" s="439">
        <f t="shared" si="24"/>
        <v>1.86</v>
      </c>
      <c r="BN22" s="439">
        <f t="shared" si="24"/>
        <v>1.86</v>
      </c>
      <c r="BO22" s="439">
        <f t="shared" si="24"/>
        <v>1.86</v>
      </c>
      <c r="BP22" s="439">
        <f t="shared" si="24"/>
        <v>1.86</v>
      </c>
      <c r="BQ22" s="439">
        <f t="shared" si="24"/>
        <v>3.91</v>
      </c>
      <c r="BR22" s="439">
        <f t="shared" si="24"/>
        <v>1.86</v>
      </c>
      <c r="BS22" s="439">
        <f t="shared" si="24"/>
        <v>3.53</v>
      </c>
      <c r="BT22" s="439">
        <f t="shared" si="24"/>
        <v>1.86</v>
      </c>
      <c r="BU22" s="439">
        <f t="shared" ref="BU22:CC22" si="26">+BU17+BU20</f>
        <v>1.9</v>
      </c>
      <c r="BV22" s="439">
        <f t="shared" si="26"/>
        <v>1.86</v>
      </c>
      <c r="BW22" s="439">
        <f t="shared" si="26"/>
        <v>1</v>
      </c>
      <c r="BX22" s="439">
        <f t="shared" si="26"/>
        <v>1.67</v>
      </c>
      <c r="BY22" s="439">
        <f t="shared" si="26"/>
        <v>1</v>
      </c>
      <c r="BZ22" s="439">
        <f t="shared" si="26"/>
        <v>0.75</v>
      </c>
      <c r="CA22" s="439">
        <f t="shared" si="26"/>
        <v>1</v>
      </c>
      <c r="CB22" s="439">
        <f t="shared" si="26"/>
        <v>4.34</v>
      </c>
      <c r="CC22" s="439">
        <f t="shared" si="26"/>
        <v>0.66</v>
      </c>
      <c r="CD22" s="439">
        <v>0.66</v>
      </c>
      <c r="CE22" s="642">
        <f>+CE17+CE20</f>
        <v>20.999999999999996</v>
      </c>
      <c r="CF22" s="623">
        <f>+BG22+BI22+BK22+BM22+BO22+BQ22+BS22+BU22</f>
        <v>17.34</v>
      </c>
      <c r="CG22" s="642">
        <f>+CG17+CG20</f>
        <v>20.999999999999996</v>
      </c>
      <c r="CH22" s="642">
        <f>+CH17+CH20</f>
        <v>21</v>
      </c>
      <c r="CI22" s="642">
        <f>+CI17+CI20</f>
        <v>21</v>
      </c>
      <c r="CJ22" s="624">
        <v>36</v>
      </c>
      <c r="CK22" s="438">
        <f>+CK17+CK20</f>
        <v>0</v>
      </c>
      <c r="CL22" s="438">
        <f>+CL17+CL20</f>
        <v>0</v>
      </c>
      <c r="CM22" s="439">
        <f>+CM17+CM20</f>
        <v>1.33</v>
      </c>
      <c r="CN22" s="439">
        <f>+CN17+CN20</f>
        <v>1.33</v>
      </c>
      <c r="CO22" s="439">
        <f>+CO17+CO20</f>
        <v>1.22</v>
      </c>
      <c r="CP22" s="439">
        <f>+CP21+CP17</f>
        <v>1.22</v>
      </c>
      <c r="CQ22" s="439">
        <f t="shared" ref="CQ22:CX22" si="27">+CQ17+CQ20</f>
        <v>3.49</v>
      </c>
      <c r="CR22" s="439">
        <f t="shared" si="27"/>
        <v>3.49</v>
      </c>
      <c r="CS22" s="490">
        <f t="shared" si="27"/>
        <v>3.62</v>
      </c>
      <c r="CT22" s="490">
        <f t="shared" si="27"/>
        <v>3.62</v>
      </c>
      <c r="CU22" s="490">
        <f t="shared" si="27"/>
        <v>3.87</v>
      </c>
      <c r="CV22" s="490">
        <f t="shared" si="27"/>
        <v>3.87</v>
      </c>
      <c r="CW22" s="490">
        <f t="shared" si="27"/>
        <v>3.87</v>
      </c>
      <c r="CX22" s="490">
        <f t="shared" si="27"/>
        <v>3.87</v>
      </c>
      <c r="CY22" s="491">
        <f t="shared" ref="CY22:DE22" si="28">+CY17+CY20</f>
        <v>3.87</v>
      </c>
      <c r="CZ22" s="491">
        <f t="shared" si="28"/>
        <v>3.87</v>
      </c>
      <c r="DA22" s="490">
        <f t="shared" si="28"/>
        <v>3.87</v>
      </c>
      <c r="DB22" s="490">
        <f t="shared" si="28"/>
        <v>3.87</v>
      </c>
      <c r="DC22" s="439">
        <f t="shared" si="28"/>
        <v>3.87</v>
      </c>
      <c r="DD22" s="439">
        <f t="shared" si="28"/>
        <v>3.87</v>
      </c>
      <c r="DE22" s="490">
        <f t="shared" si="28"/>
        <v>3.87</v>
      </c>
      <c r="DF22" s="490">
        <f>+DF17+DF20</f>
        <v>3.87</v>
      </c>
      <c r="DG22" s="490">
        <f>+DG17+DG20</f>
        <v>3.12</v>
      </c>
      <c r="DH22" s="490">
        <f>+DH17+DH20</f>
        <v>3.12</v>
      </c>
      <c r="DI22" s="623">
        <f t="shared" si="20"/>
        <v>36</v>
      </c>
      <c r="DJ22" s="623">
        <f>+CK22+CM22+CO22+CQ22+CS22+CU22+CW22+CY22++DA22+DC22+DE22+DG22</f>
        <v>36</v>
      </c>
      <c r="DK22" s="623">
        <f>+CL22+CN22+CP22+CR22+CT22+CV22+CX22+CZ22+DB22+DD22+DF22+DH22</f>
        <v>36</v>
      </c>
      <c r="DL22" s="624">
        <f>+CK22+CM22+CO22+CQ22+CS22+CU22+CW22+CY22+DA22+DC22+DE22+DG22</f>
        <v>36</v>
      </c>
      <c r="DM22" s="623">
        <f>+CL22+CN22+CP22+CR22+CT22+CV22+CX22+CZ22+DB22+DD22+DF22+DH22</f>
        <v>36</v>
      </c>
      <c r="DN22" s="623">
        <f>+DN17+DN20</f>
        <v>21</v>
      </c>
      <c r="DO22" s="438">
        <f t="shared" ref="DO22:EE22" si="29">+DO17+DO20</f>
        <v>0</v>
      </c>
      <c r="DP22" s="438">
        <f t="shared" si="29"/>
        <v>0</v>
      </c>
      <c r="DQ22" s="438">
        <f t="shared" si="29"/>
        <v>0</v>
      </c>
      <c r="DR22" s="438">
        <f t="shared" si="29"/>
        <v>0</v>
      </c>
      <c r="DS22" s="438">
        <f t="shared" si="29"/>
        <v>0</v>
      </c>
      <c r="DT22" s="438">
        <f t="shared" si="29"/>
        <v>0</v>
      </c>
      <c r="DU22" s="438">
        <f t="shared" si="29"/>
        <v>0</v>
      </c>
      <c r="DV22" s="438">
        <f t="shared" si="29"/>
        <v>0</v>
      </c>
      <c r="DW22" s="438">
        <f t="shared" si="29"/>
        <v>0</v>
      </c>
      <c r="DX22" s="438">
        <f t="shared" si="29"/>
        <v>0</v>
      </c>
      <c r="DY22" s="438">
        <f t="shared" si="29"/>
        <v>0</v>
      </c>
      <c r="DZ22" s="438">
        <f t="shared" si="29"/>
        <v>0</v>
      </c>
      <c r="EA22" s="438">
        <f t="shared" si="29"/>
        <v>0</v>
      </c>
      <c r="EB22" s="438">
        <f t="shared" si="29"/>
        <v>0</v>
      </c>
      <c r="EC22" s="438">
        <f t="shared" si="29"/>
        <v>0</v>
      </c>
      <c r="ED22" s="438">
        <f t="shared" si="29"/>
        <v>0</v>
      </c>
      <c r="EE22" s="438">
        <f t="shared" si="29"/>
        <v>0</v>
      </c>
      <c r="EF22" s="438">
        <f t="shared" ref="EF22:EQ22" si="30">+EF17+EF20</f>
        <v>0</v>
      </c>
      <c r="EG22" s="438">
        <f t="shared" si="30"/>
        <v>0</v>
      </c>
      <c r="EH22" s="438">
        <f t="shared" si="30"/>
        <v>0</v>
      </c>
      <c r="EI22" s="438">
        <f t="shared" si="30"/>
        <v>0</v>
      </c>
      <c r="EJ22" s="438">
        <f t="shared" si="30"/>
        <v>0</v>
      </c>
      <c r="EK22" s="438">
        <f t="shared" si="30"/>
        <v>0</v>
      </c>
      <c r="EL22" s="438">
        <f t="shared" si="30"/>
        <v>0</v>
      </c>
      <c r="EM22" s="438">
        <f t="shared" si="30"/>
        <v>0</v>
      </c>
      <c r="EN22" s="438">
        <f t="shared" si="30"/>
        <v>0</v>
      </c>
      <c r="EO22" s="438">
        <f t="shared" si="30"/>
        <v>0</v>
      </c>
      <c r="EP22" s="438">
        <f t="shared" si="30"/>
        <v>0</v>
      </c>
      <c r="EQ22" s="438">
        <f t="shared" si="30"/>
        <v>0</v>
      </c>
      <c r="ER22" s="435">
        <f t="shared" si="4"/>
        <v>1</v>
      </c>
      <c r="ES22" s="436">
        <f t="shared" si="5"/>
        <v>1</v>
      </c>
      <c r="ET22" s="437">
        <f t="shared" si="6"/>
        <v>1</v>
      </c>
      <c r="EU22" s="437">
        <f t="shared" si="7"/>
        <v>1</v>
      </c>
      <c r="EV22" s="437">
        <f t="shared" si="8"/>
        <v>0.79</v>
      </c>
      <c r="EW22" s="759"/>
      <c r="EX22" s="756"/>
      <c r="EY22" s="756"/>
      <c r="EZ22" s="807"/>
      <c r="FA22" s="805"/>
    </row>
    <row r="23" spans="1:157" s="216" customFormat="1" ht="28.7" customHeight="1" thickBot="1" x14ac:dyDescent="0.3">
      <c r="A23" s="739"/>
      <c r="B23" s="727"/>
      <c r="C23" s="737"/>
      <c r="D23" s="727"/>
      <c r="E23" s="727"/>
      <c r="F23" s="215" t="s">
        <v>44</v>
      </c>
      <c r="G23" s="281">
        <f>G18+G21</f>
        <v>1115409602</v>
      </c>
      <c r="H23" s="282">
        <f t="shared" ref="H23:BS23" si="31">H18+H21</f>
        <v>104500000</v>
      </c>
      <c r="I23" s="282">
        <f t="shared" si="31"/>
        <v>104500000</v>
      </c>
      <c r="J23" s="282">
        <f t="shared" si="31"/>
        <v>0</v>
      </c>
      <c r="K23" s="282">
        <f t="shared" si="31"/>
        <v>104500000</v>
      </c>
      <c r="L23" s="282">
        <f t="shared" si="31"/>
        <v>0</v>
      </c>
      <c r="M23" s="282">
        <f t="shared" si="31"/>
        <v>104500000</v>
      </c>
      <c r="N23" s="282">
        <f t="shared" si="31"/>
        <v>83456000</v>
      </c>
      <c r="O23" s="282">
        <f t="shared" si="31"/>
        <v>104500000</v>
      </c>
      <c r="P23" s="282">
        <f t="shared" si="31"/>
        <v>83456000</v>
      </c>
      <c r="Q23" s="282">
        <f t="shared" si="31"/>
        <v>104500000</v>
      </c>
      <c r="R23" s="282">
        <f t="shared" si="31"/>
        <v>83456000</v>
      </c>
      <c r="S23" s="282">
        <f t="shared" si="31"/>
        <v>104500000</v>
      </c>
      <c r="T23" s="282">
        <f t="shared" si="31"/>
        <v>83456000</v>
      </c>
      <c r="U23" s="282">
        <f t="shared" si="31"/>
        <v>104500000</v>
      </c>
      <c r="V23" s="282">
        <f t="shared" si="31"/>
        <v>103088000</v>
      </c>
      <c r="W23" s="282">
        <f t="shared" si="31"/>
        <v>104500000</v>
      </c>
      <c r="X23" s="282">
        <f t="shared" si="31"/>
        <v>104500000</v>
      </c>
      <c r="Y23" s="282">
        <f t="shared" si="31"/>
        <v>103088000</v>
      </c>
      <c r="Z23" s="282">
        <f t="shared" si="31"/>
        <v>103088000</v>
      </c>
      <c r="AA23" s="282">
        <f t="shared" si="31"/>
        <v>103088000</v>
      </c>
      <c r="AB23" s="282">
        <f t="shared" si="31"/>
        <v>309232334</v>
      </c>
      <c r="AC23" s="282">
        <f t="shared" si="31"/>
        <v>15615200</v>
      </c>
      <c r="AD23" s="282">
        <f t="shared" si="31"/>
        <v>15615200</v>
      </c>
      <c r="AE23" s="282">
        <f t="shared" si="31"/>
        <v>163565467</v>
      </c>
      <c r="AF23" s="282">
        <f t="shared" si="31"/>
        <v>163565467</v>
      </c>
      <c r="AG23" s="282">
        <f t="shared" si="31"/>
        <v>46385667</v>
      </c>
      <c r="AH23" s="282">
        <f t="shared" si="31"/>
        <v>46385667</v>
      </c>
      <c r="AI23" s="282">
        <f t="shared" si="31"/>
        <v>69792000</v>
      </c>
      <c r="AJ23" s="282">
        <f t="shared" si="31"/>
        <v>69792000</v>
      </c>
      <c r="AK23" s="282">
        <f t="shared" si="31"/>
        <v>0</v>
      </c>
      <c r="AL23" s="282">
        <f t="shared" si="31"/>
        <v>0</v>
      </c>
      <c r="AM23" s="282">
        <f t="shared" si="31"/>
        <v>0</v>
      </c>
      <c r="AN23" s="282">
        <f t="shared" si="31"/>
        <v>0</v>
      </c>
      <c r="AO23" s="282">
        <f t="shared" si="31"/>
        <v>0</v>
      </c>
      <c r="AP23" s="282">
        <f t="shared" si="31"/>
        <v>0</v>
      </c>
      <c r="AQ23" s="282">
        <f t="shared" si="31"/>
        <v>0</v>
      </c>
      <c r="AR23" s="282">
        <f t="shared" si="31"/>
        <v>0</v>
      </c>
      <c r="AS23" s="282">
        <f t="shared" si="31"/>
        <v>16009200</v>
      </c>
      <c r="AT23" s="282">
        <f t="shared" si="31"/>
        <v>862767</v>
      </c>
      <c r="AU23" s="282">
        <f t="shared" si="31"/>
        <v>16131567</v>
      </c>
      <c r="AV23" s="282">
        <f t="shared" si="31"/>
        <v>8646000</v>
      </c>
      <c r="AW23" s="282">
        <f t="shared" si="31"/>
        <v>9990314</v>
      </c>
      <c r="AX23" s="282">
        <f t="shared" si="31"/>
        <v>24633535</v>
      </c>
      <c r="AY23" s="282">
        <f t="shared" si="31"/>
        <v>0</v>
      </c>
      <c r="AZ23" s="282">
        <f t="shared" si="31"/>
        <v>-2100000</v>
      </c>
      <c r="BA23" s="282">
        <f t="shared" si="31"/>
        <v>337489415</v>
      </c>
      <c r="BB23" s="282">
        <f t="shared" si="31"/>
        <v>337489415</v>
      </c>
      <c r="BC23" s="282">
        <f t="shared" si="31"/>
        <v>327400636</v>
      </c>
      <c r="BD23" s="282">
        <f t="shared" si="31"/>
        <v>337489415</v>
      </c>
      <c r="BE23" s="282">
        <f t="shared" si="31"/>
        <v>327400636</v>
      </c>
      <c r="BF23" s="282">
        <f t="shared" si="31"/>
        <v>681254101</v>
      </c>
      <c r="BG23" s="282">
        <f t="shared" si="31"/>
        <v>251803801</v>
      </c>
      <c r="BH23" s="282">
        <f t="shared" si="31"/>
        <v>251803801</v>
      </c>
      <c r="BI23" s="282">
        <f t="shared" si="31"/>
        <v>4755300</v>
      </c>
      <c r="BJ23" s="282">
        <f t="shared" si="31"/>
        <v>4755300</v>
      </c>
      <c r="BK23" s="282">
        <f t="shared" si="31"/>
        <v>0</v>
      </c>
      <c r="BL23" s="282">
        <f t="shared" si="31"/>
        <v>0</v>
      </c>
      <c r="BM23" s="282">
        <f t="shared" si="31"/>
        <v>0</v>
      </c>
      <c r="BN23" s="282">
        <f t="shared" si="31"/>
        <v>0</v>
      </c>
      <c r="BO23" s="282">
        <f t="shared" si="31"/>
        <v>0</v>
      </c>
      <c r="BP23" s="282">
        <f t="shared" si="31"/>
        <v>0</v>
      </c>
      <c r="BQ23" s="282">
        <f t="shared" si="31"/>
        <v>0</v>
      </c>
      <c r="BR23" s="282">
        <f t="shared" si="31"/>
        <v>0</v>
      </c>
      <c r="BS23" s="282">
        <f t="shared" si="31"/>
        <v>0</v>
      </c>
      <c r="BT23" s="282">
        <f t="shared" ref="BT23:DM23" si="32">BT18+BT21</f>
        <v>0</v>
      </c>
      <c r="BU23" s="282">
        <f t="shared" si="32"/>
        <v>0</v>
      </c>
      <c r="BV23" s="282">
        <f t="shared" si="32"/>
        <v>0</v>
      </c>
      <c r="BW23" s="282">
        <f t="shared" si="32"/>
        <v>0</v>
      </c>
      <c r="BX23" s="282">
        <f t="shared" si="32"/>
        <v>0</v>
      </c>
      <c r="BY23" s="282">
        <f t="shared" si="32"/>
        <v>0</v>
      </c>
      <c r="BZ23" s="282">
        <f t="shared" si="32"/>
        <v>6499200</v>
      </c>
      <c r="CA23" s="282">
        <f t="shared" si="32"/>
        <v>11238200</v>
      </c>
      <c r="CB23" s="282">
        <f t="shared" si="32"/>
        <v>4739000</v>
      </c>
      <c r="CC23" s="282">
        <f t="shared" si="32"/>
        <v>0</v>
      </c>
      <c r="CD23" s="282">
        <f t="shared" si="32"/>
        <v>0</v>
      </c>
      <c r="CE23" s="282">
        <f t="shared" si="32"/>
        <v>267797301</v>
      </c>
      <c r="CF23" s="282">
        <f t="shared" si="32"/>
        <v>267797301</v>
      </c>
      <c r="CG23" s="282">
        <f t="shared" si="32"/>
        <v>267797301</v>
      </c>
      <c r="CH23" s="282">
        <f t="shared" si="32"/>
        <v>267797301</v>
      </c>
      <c r="CI23" s="282">
        <f t="shared" si="32"/>
        <v>267797301</v>
      </c>
      <c r="CJ23" s="282">
        <f t="shared" si="32"/>
        <v>187388665</v>
      </c>
      <c r="CK23" s="282">
        <f t="shared" si="32"/>
        <v>55920200</v>
      </c>
      <c r="CL23" s="282">
        <f t="shared" si="32"/>
        <v>55920200</v>
      </c>
      <c r="CM23" s="282">
        <f t="shared" si="32"/>
        <v>19159100</v>
      </c>
      <c r="CN23" s="282">
        <f t="shared" si="32"/>
        <v>19159100</v>
      </c>
      <c r="CO23" s="282">
        <f t="shared" si="32"/>
        <v>103152000</v>
      </c>
      <c r="CP23" s="282">
        <f t="shared" si="32"/>
        <v>103152000</v>
      </c>
      <c r="CQ23" s="282">
        <f t="shared" si="32"/>
        <v>0</v>
      </c>
      <c r="CR23" s="282">
        <f t="shared" si="32"/>
        <v>0</v>
      </c>
      <c r="CS23" s="495">
        <f t="shared" si="32"/>
        <v>319200</v>
      </c>
      <c r="CT23" s="495">
        <f t="shared" si="32"/>
        <v>0</v>
      </c>
      <c r="CU23" s="495">
        <f>CU18+CU21</f>
        <v>0</v>
      </c>
      <c r="CV23" s="495">
        <f>CV18+CV21</f>
        <v>0</v>
      </c>
      <c r="CW23" s="495">
        <f t="shared" si="32"/>
        <v>0</v>
      </c>
      <c r="CX23" s="495">
        <f t="shared" si="32"/>
        <v>0</v>
      </c>
      <c r="CY23" s="282">
        <f t="shared" si="32"/>
        <v>0</v>
      </c>
      <c r="CZ23" s="282"/>
      <c r="DA23" s="495">
        <f t="shared" si="32"/>
        <v>0</v>
      </c>
      <c r="DB23" s="495">
        <f t="shared" si="32"/>
        <v>0</v>
      </c>
      <c r="DC23" s="282">
        <f t="shared" si="32"/>
        <v>0</v>
      </c>
      <c r="DD23" s="282">
        <f t="shared" si="32"/>
        <v>5582665</v>
      </c>
      <c r="DE23" s="495">
        <f t="shared" si="32"/>
        <v>0</v>
      </c>
      <c r="DF23" s="495">
        <f t="shared" si="32"/>
        <v>3255500</v>
      </c>
      <c r="DG23" s="495">
        <f t="shared" si="32"/>
        <v>8838165</v>
      </c>
      <c r="DH23" s="495"/>
      <c r="DI23" s="282">
        <f>DI18+DI21</f>
        <v>187388665</v>
      </c>
      <c r="DJ23" s="282">
        <f t="shared" si="32"/>
        <v>187388665</v>
      </c>
      <c r="DK23" s="282">
        <f t="shared" si="32"/>
        <v>187069465</v>
      </c>
      <c r="DL23" s="282">
        <f t="shared" si="32"/>
        <v>187388665</v>
      </c>
      <c r="DM23" s="282">
        <f t="shared" si="32"/>
        <v>187069465</v>
      </c>
      <c r="DN23" s="282">
        <f>DN18+DN21</f>
        <v>229735000</v>
      </c>
      <c r="DO23" s="283">
        <f t="shared" ref="DO23:EQ23" si="33">+DO18+DO21</f>
        <v>0</v>
      </c>
      <c r="DP23" s="283">
        <f t="shared" si="33"/>
        <v>0</v>
      </c>
      <c r="DQ23" s="283">
        <f t="shared" si="33"/>
        <v>0</v>
      </c>
      <c r="DR23" s="283">
        <f t="shared" si="33"/>
        <v>0</v>
      </c>
      <c r="DS23" s="283">
        <f t="shared" si="33"/>
        <v>0</v>
      </c>
      <c r="DT23" s="283">
        <f t="shared" si="33"/>
        <v>0</v>
      </c>
      <c r="DU23" s="283">
        <f t="shared" si="33"/>
        <v>0</v>
      </c>
      <c r="DV23" s="283">
        <f t="shared" si="33"/>
        <v>0</v>
      </c>
      <c r="DW23" s="283">
        <f t="shared" si="33"/>
        <v>0</v>
      </c>
      <c r="DX23" s="283">
        <f t="shared" si="33"/>
        <v>0</v>
      </c>
      <c r="DY23" s="283">
        <f t="shared" si="33"/>
        <v>0</v>
      </c>
      <c r="DZ23" s="283">
        <f t="shared" si="33"/>
        <v>0</v>
      </c>
      <c r="EA23" s="283">
        <f t="shared" si="33"/>
        <v>0</v>
      </c>
      <c r="EB23" s="283">
        <f t="shared" si="33"/>
        <v>0</v>
      </c>
      <c r="EC23" s="283">
        <f t="shared" si="33"/>
        <v>0</v>
      </c>
      <c r="ED23" s="283">
        <f t="shared" si="33"/>
        <v>0</v>
      </c>
      <c r="EE23" s="283">
        <f t="shared" si="33"/>
        <v>0</v>
      </c>
      <c r="EF23" s="283">
        <f t="shared" si="33"/>
        <v>0</v>
      </c>
      <c r="EG23" s="283">
        <f t="shared" si="33"/>
        <v>0</v>
      </c>
      <c r="EH23" s="283">
        <f t="shared" si="33"/>
        <v>0</v>
      </c>
      <c r="EI23" s="283">
        <f t="shared" si="33"/>
        <v>0</v>
      </c>
      <c r="EJ23" s="283">
        <f t="shared" si="33"/>
        <v>0</v>
      </c>
      <c r="EK23" s="283">
        <f t="shared" si="33"/>
        <v>0</v>
      </c>
      <c r="EL23" s="283">
        <f t="shared" si="33"/>
        <v>0</v>
      </c>
      <c r="EM23" s="283">
        <f t="shared" si="33"/>
        <v>0</v>
      </c>
      <c r="EN23" s="283">
        <f t="shared" si="33"/>
        <v>0</v>
      </c>
      <c r="EO23" s="283">
        <f t="shared" si="33"/>
        <v>0</v>
      </c>
      <c r="EP23" s="283">
        <f t="shared" si="33"/>
        <v>0</v>
      </c>
      <c r="EQ23" s="283">
        <f t="shared" si="33"/>
        <v>0</v>
      </c>
      <c r="ER23" s="284">
        <f>IFERROR(DF23/DE23,0)</f>
        <v>0</v>
      </c>
      <c r="ES23" s="285">
        <f>+DK23/DJ23</f>
        <v>0.99829658853698544</v>
      </c>
      <c r="ET23" s="286">
        <f>+DM23/DL23</f>
        <v>0.99829658853698544</v>
      </c>
      <c r="EU23" s="286">
        <f>+(AA23+BE23+CI23+DK23)/(Z23+BD23+CH23+DJ23)</f>
        <v>0.98838088358961396</v>
      </c>
      <c r="EV23" s="287">
        <f t="shared" si="8"/>
        <v>0.79374913073412834</v>
      </c>
      <c r="EW23" s="808"/>
      <c r="EX23" s="757"/>
      <c r="EY23" s="757"/>
      <c r="EZ23" s="807"/>
      <c r="FA23" s="805"/>
    </row>
    <row r="24" spans="1:157" s="212" customFormat="1" ht="28.7" customHeight="1" x14ac:dyDescent="0.25">
      <c r="A24" s="740"/>
      <c r="B24" s="744">
        <v>3</v>
      </c>
      <c r="C24" s="738" t="s">
        <v>292</v>
      </c>
      <c r="D24" s="749" t="s">
        <v>262</v>
      </c>
      <c r="E24" s="752">
        <v>524</v>
      </c>
      <c r="F24" s="217" t="s">
        <v>40</v>
      </c>
      <c r="G24" s="628">
        <f>AA24+BE24+CI24+DL24+DN24</f>
        <v>100</v>
      </c>
      <c r="H24" s="290">
        <v>10</v>
      </c>
      <c r="I24" s="290">
        <v>10</v>
      </c>
      <c r="J24" s="290">
        <v>0</v>
      </c>
      <c r="K24" s="290">
        <v>10</v>
      </c>
      <c r="L24" s="633">
        <v>0</v>
      </c>
      <c r="M24" s="290">
        <v>10</v>
      </c>
      <c r="N24" s="290">
        <v>0.67</v>
      </c>
      <c r="O24" s="290">
        <v>10</v>
      </c>
      <c r="P24" s="290">
        <v>2.37</v>
      </c>
      <c r="Q24" s="290">
        <v>10</v>
      </c>
      <c r="R24" s="290">
        <v>4.33</v>
      </c>
      <c r="S24" s="306">
        <v>10</v>
      </c>
      <c r="T24" s="633">
        <v>6.99</v>
      </c>
      <c r="U24" s="290">
        <v>10</v>
      </c>
      <c r="V24" s="290">
        <v>9.99</v>
      </c>
      <c r="W24" s="307">
        <f>+U24</f>
        <v>10</v>
      </c>
      <c r="X24" s="633">
        <f t="shared" ref="X24:Y28" si="34">+U24</f>
        <v>10</v>
      </c>
      <c r="Y24" s="633">
        <f t="shared" si="34"/>
        <v>9.99</v>
      </c>
      <c r="Z24" s="308">
        <f>+Z19+Z22</f>
        <v>10</v>
      </c>
      <c r="AA24" s="308">
        <f>+AA19+AA22</f>
        <v>10</v>
      </c>
      <c r="AB24" s="290">
        <v>12</v>
      </c>
      <c r="AC24" s="290">
        <v>0.6</v>
      </c>
      <c r="AD24" s="290">
        <v>0.6</v>
      </c>
      <c r="AE24" s="290">
        <v>0.84</v>
      </c>
      <c r="AF24" s="290">
        <v>0.84</v>
      </c>
      <c r="AG24" s="290">
        <v>1.32</v>
      </c>
      <c r="AH24" s="290">
        <v>1.32</v>
      </c>
      <c r="AI24" s="290">
        <v>1.32</v>
      </c>
      <c r="AJ24" s="290">
        <v>1.32</v>
      </c>
      <c r="AK24" s="290">
        <v>1.32</v>
      </c>
      <c r="AL24" s="633">
        <v>1.32</v>
      </c>
      <c r="AM24" s="290">
        <v>1.32</v>
      </c>
      <c r="AN24" s="290">
        <v>1.32</v>
      </c>
      <c r="AO24" s="290">
        <v>1.32</v>
      </c>
      <c r="AP24" s="290">
        <v>1.32</v>
      </c>
      <c r="AQ24" s="290">
        <v>1.32</v>
      </c>
      <c r="AR24" s="290">
        <v>1.32</v>
      </c>
      <c r="AS24" s="290">
        <v>1.32</v>
      </c>
      <c r="AT24" s="290">
        <v>1.32</v>
      </c>
      <c r="AU24" s="633">
        <v>0.96</v>
      </c>
      <c r="AV24" s="633">
        <v>0.96</v>
      </c>
      <c r="AW24" s="633">
        <v>0.18</v>
      </c>
      <c r="AX24" s="633">
        <v>0.18</v>
      </c>
      <c r="AY24" s="633">
        <v>0.18</v>
      </c>
      <c r="AZ24" s="633">
        <v>0.18</v>
      </c>
      <c r="BA24" s="633">
        <f>AY24+AW24+AU24+AS24+AO24+AM24+AK24+AI24+AG24+AE24+AQ24+AC24</f>
        <v>12</v>
      </c>
      <c r="BB24" s="633">
        <f>+AE24+AG24+AI24+AK24+AC24+AM24+AO24+AQ24+AS24+AU24+AW24+AY24</f>
        <v>12</v>
      </c>
      <c r="BC24" s="633">
        <f>AD24+AF24+AH24+AJ24+AL24+AN24+AP24+AR24+AT24+AV24+AX24+AZ24</f>
        <v>12</v>
      </c>
      <c r="BD24" s="633">
        <f>+AC24+AE24+AG24+AI24+AK24+AM24+AO24+AQ24+AS24+AU24+AW24+AY24</f>
        <v>12</v>
      </c>
      <c r="BE24" s="633">
        <f>+AD24+AF24+AH24+AJ24+AL24+AN24+AP24+AR24+AT24+AV24+AX24+AZ24</f>
        <v>12</v>
      </c>
      <c r="BF24" s="633">
        <v>31</v>
      </c>
      <c r="BG24" s="290">
        <v>1.5</v>
      </c>
      <c r="BH24" s="290">
        <v>1.5</v>
      </c>
      <c r="BI24" s="290">
        <v>2.8</v>
      </c>
      <c r="BJ24" s="290">
        <v>2.8</v>
      </c>
      <c r="BK24" s="290">
        <v>2.8</v>
      </c>
      <c r="BL24" s="309">
        <v>2</v>
      </c>
      <c r="BM24" s="290">
        <v>2.8</v>
      </c>
      <c r="BN24" s="290">
        <v>2.8</v>
      </c>
      <c r="BO24" s="290">
        <v>2.8</v>
      </c>
      <c r="BP24" s="290">
        <f>2.8+0.8</f>
        <v>3.5999999999999996</v>
      </c>
      <c r="BQ24" s="290">
        <v>2.8</v>
      </c>
      <c r="BR24" s="290">
        <v>2.8</v>
      </c>
      <c r="BS24" s="290">
        <v>2.8</v>
      </c>
      <c r="BT24" s="290">
        <v>2.8</v>
      </c>
      <c r="BU24" s="290">
        <v>2.8</v>
      </c>
      <c r="BV24" s="290">
        <v>2.8</v>
      </c>
      <c r="BW24" s="290">
        <v>2.8</v>
      </c>
      <c r="BX24" s="290">
        <v>2.8</v>
      </c>
      <c r="BY24" s="290">
        <v>2.8</v>
      </c>
      <c r="BZ24" s="290">
        <v>2.76</v>
      </c>
      <c r="CA24" s="290">
        <v>2.8</v>
      </c>
      <c r="CB24" s="290">
        <v>2.84</v>
      </c>
      <c r="CC24" s="290">
        <v>1.5</v>
      </c>
      <c r="CD24" s="290">
        <v>1.5</v>
      </c>
      <c r="CE24" s="633">
        <f>CC24+CA24+BY24+BW24+BS24+BQ24+BO24+BM24+BK24+BI24+BU24+BG24</f>
        <v>31.000000000000004</v>
      </c>
      <c r="CF24" s="633">
        <f>+BG24+BI24+BK24+BM24+BO24+BQ24+BS24+BU24+BW24+BY24+CA24</f>
        <v>29.500000000000004</v>
      </c>
      <c r="CG24" s="633">
        <f>BH24+BJ24+BL24+BN24+BP24+BR24+BT24+BV24+BX24+BZ24+CB24+CD24</f>
        <v>31.000000000000004</v>
      </c>
      <c r="CH24" s="633">
        <f>+BG24+BI24+BK24+BM24+BO24+BQ24+BS24+BU24+BW24+BY24+CA24+CC24</f>
        <v>31.000000000000004</v>
      </c>
      <c r="CI24" s="633">
        <f>+BH24+BJ24+BL24+BN24+BP24+BR24+BT24++BV24+BZ24+CB24+CD24+BX24</f>
        <v>31</v>
      </c>
      <c r="CJ24" s="633">
        <v>27</v>
      </c>
      <c r="CK24" s="633">
        <v>0</v>
      </c>
      <c r="CL24" s="643">
        <v>0</v>
      </c>
      <c r="CM24" s="643">
        <v>2.7</v>
      </c>
      <c r="CN24" s="290">
        <v>2.7</v>
      </c>
      <c r="CO24" s="290">
        <v>3.92</v>
      </c>
      <c r="CP24" s="290">
        <v>3.92</v>
      </c>
      <c r="CQ24" s="290">
        <v>5.27</v>
      </c>
      <c r="CR24" s="290">
        <v>5.27</v>
      </c>
      <c r="CS24" s="634">
        <v>5.27</v>
      </c>
      <c r="CT24" s="634">
        <v>5.27</v>
      </c>
      <c r="CU24" s="634">
        <v>1.22</v>
      </c>
      <c r="CV24" s="634">
        <v>1.22</v>
      </c>
      <c r="CW24" s="634">
        <v>1.22</v>
      </c>
      <c r="CX24" s="634">
        <v>1.22</v>
      </c>
      <c r="CY24" s="635">
        <v>1.22</v>
      </c>
      <c r="CZ24" s="635">
        <v>1.22</v>
      </c>
      <c r="DA24" s="634">
        <v>1.62</v>
      </c>
      <c r="DB24" s="634">
        <v>1.62</v>
      </c>
      <c r="DC24" s="290">
        <v>1.62</v>
      </c>
      <c r="DD24" s="290">
        <v>1.62</v>
      </c>
      <c r="DE24" s="634">
        <v>1.62</v>
      </c>
      <c r="DF24" s="634">
        <v>1.62</v>
      </c>
      <c r="DG24" s="634">
        <v>1.32</v>
      </c>
      <c r="DH24" s="634">
        <v>1.32</v>
      </c>
      <c r="DI24" s="633">
        <f t="shared" ref="DI24:DI29" si="35">+CK24+CM24+CO24+CQ24+CS24+CU24+CW24+CY24+DA24+DC24+DE24+DG24</f>
        <v>27</v>
      </c>
      <c r="DJ24" s="633">
        <f>+CK24+CM24+CO24+CQ24+CS24+CU24+CW24+CY24+DA24+DC24+DE24+DG24</f>
        <v>27</v>
      </c>
      <c r="DK24" s="633">
        <f>+CL24+CN24+CP24+CR24+CT24+CV24+CX24+CZ24+DB24+DD25+DD24+DF24+DH24</f>
        <v>27</v>
      </c>
      <c r="DL24" s="636">
        <f t="shared" ref="DL24:DM29" si="36">+CK24+CM24+CO24+CQ24+CS24+CU24+CW24+CY24+DA24+DC24+DE24+DG24</f>
        <v>27</v>
      </c>
      <c r="DM24" s="633">
        <f t="shared" si="36"/>
        <v>27</v>
      </c>
      <c r="DN24" s="633">
        <v>20</v>
      </c>
      <c r="DO24" s="290"/>
      <c r="DP24" s="290"/>
      <c r="DQ24" s="290"/>
      <c r="DR24" s="290"/>
      <c r="DS24" s="290"/>
      <c r="DT24" s="290"/>
      <c r="DU24" s="290"/>
      <c r="DV24" s="290"/>
      <c r="DW24" s="290"/>
      <c r="DX24" s="290"/>
      <c r="DY24" s="290"/>
      <c r="DZ24" s="290"/>
      <c r="EA24" s="290"/>
      <c r="EB24" s="290"/>
      <c r="EC24" s="290"/>
      <c r="ED24" s="290"/>
      <c r="EE24" s="290"/>
      <c r="EF24" s="290"/>
      <c r="EG24" s="290"/>
      <c r="EH24" s="290"/>
      <c r="EI24" s="290"/>
      <c r="EJ24" s="290"/>
      <c r="EK24" s="290"/>
      <c r="EL24" s="290"/>
      <c r="EM24" s="633">
        <f>EK24+EI24+EG24+EE24+EC24+EA24+DY24+DW24+DU24+DS24+DQ24+DO24</f>
        <v>0</v>
      </c>
      <c r="EN24" s="633">
        <f t="shared" ref="EN24:EO28" si="37">DO24+DQ24+DS24+DU24</f>
        <v>0</v>
      </c>
      <c r="EO24" s="633">
        <f t="shared" si="37"/>
        <v>0</v>
      </c>
      <c r="EP24" s="310">
        <f>DQ24+DS24+DU24+DW24+DY24+EA24+EC24+EE24+EG24+EI24+EK24+DO24</f>
        <v>0</v>
      </c>
      <c r="EQ24" s="633">
        <f>DP24+DR24+DT24+DV24</f>
        <v>0</v>
      </c>
      <c r="ER24" s="292">
        <f t="shared" si="4"/>
        <v>1</v>
      </c>
      <c r="ES24" s="293">
        <f t="shared" si="5"/>
        <v>1</v>
      </c>
      <c r="ET24" s="294">
        <f t="shared" si="6"/>
        <v>1</v>
      </c>
      <c r="EU24" s="294">
        <f t="shared" si="7"/>
        <v>1</v>
      </c>
      <c r="EV24" s="294">
        <f t="shared" si="8"/>
        <v>0.8</v>
      </c>
      <c r="EW24" s="759" t="s">
        <v>530</v>
      </c>
      <c r="EX24" s="756" t="s">
        <v>68</v>
      </c>
      <c r="EY24" s="756" t="s">
        <v>68</v>
      </c>
      <c r="EZ24" s="807" t="s">
        <v>310</v>
      </c>
      <c r="FA24" s="805" t="s">
        <v>536</v>
      </c>
    </row>
    <row r="25" spans="1:157" s="206" customFormat="1" ht="28.7" customHeight="1" x14ac:dyDescent="0.25">
      <c r="A25" s="740"/>
      <c r="B25" s="745"/>
      <c r="C25" s="739"/>
      <c r="D25" s="750"/>
      <c r="E25" s="753"/>
      <c r="F25" s="210" t="s">
        <v>3</v>
      </c>
      <c r="G25" s="610">
        <f>AA25+BE25+CI25+DL25+DN25</f>
        <v>3570324213</v>
      </c>
      <c r="H25" s="311">
        <v>445395000</v>
      </c>
      <c r="I25" s="311">
        <v>445395000</v>
      </c>
      <c r="J25" s="276">
        <v>0</v>
      </c>
      <c r="K25" s="311">
        <v>445395000</v>
      </c>
      <c r="L25" s="276">
        <v>0</v>
      </c>
      <c r="M25" s="311">
        <v>431395000</v>
      </c>
      <c r="N25" s="276">
        <v>295376000</v>
      </c>
      <c r="O25" s="311">
        <v>431395000</v>
      </c>
      <c r="P25" s="276">
        <v>326747000</v>
      </c>
      <c r="Q25" s="311">
        <v>431395000</v>
      </c>
      <c r="R25" s="276">
        <v>326747000</v>
      </c>
      <c r="S25" s="311">
        <v>444111653</v>
      </c>
      <c r="T25" s="277">
        <v>326747000</v>
      </c>
      <c r="U25" s="312">
        <v>444111653</v>
      </c>
      <c r="V25" s="312">
        <v>437892760</v>
      </c>
      <c r="W25" s="313">
        <f>+U25</f>
        <v>444111653</v>
      </c>
      <c r="X25" s="612">
        <f t="shared" si="34"/>
        <v>444111653</v>
      </c>
      <c r="Y25" s="612">
        <f t="shared" si="34"/>
        <v>437892760</v>
      </c>
      <c r="Z25" s="610">
        <f>+V25</f>
        <v>437892760</v>
      </c>
      <c r="AA25" s="610">
        <f>+V25</f>
        <v>437892760</v>
      </c>
      <c r="AB25" s="610">
        <v>781475000</v>
      </c>
      <c r="AC25" s="610">
        <v>0</v>
      </c>
      <c r="AD25" s="610">
        <v>0</v>
      </c>
      <c r="AE25" s="610">
        <v>426816000</v>
      </c>
      <c r="AF25" s="610">
        <v>426816000</v>
      </c>
      <c r="AG25" s="610">
        <f>778986000-AE25</f>
        <v>352170000</v>
      </c>
      <c r="AH25" s="610">
        <v>352170000</v>
      </c>
      <c r="AI25" s="610">
        <f>778986000-AG25-AE25</f>
        <v>0</v>
      </c>
      <c r="AJ25" s="610">
        <v>0</v>
      </c>
      <c r="AK25" s="610">
        <v>1076800</v>
      </c>
      <c r="AL25" s="610">
        <v>1076800</v>
      </c>
      <c r="AM25" s="610">
        <v>0</v>
      </c>
      <c r="AN25" s="610">
        <v>0</v>
      </c>
      <c r="AO25" s="610">
        <v>0</v>
      </c>
      <c r="AP25" s="610">
        <v>0</v>
      </c>
      <c r="AQ25" s="610">
        <v>0</v>
      </c>
      <c r="AR25" s="610">
        <v>0</v>
      </c>
      <c r="AS25" s="610">
        <v>57543234</v>
      </c>
      <c r="AT25" s="610">
        <f>782226867-AR25-AP25-AN25-AL25-AJ25-AH25-AF25-AD25</f>
        <v>2164067</v>
      </c>
      <c r="AU25" s="610">
        <v>30368433</v>
      </c>
      <c r="AV25" s="610">
        <f>803806200-AT25-AR25-AP25-AN25-AL25-AJ25-AH25-AF25-AD25</f>
        <v>21579333</v>
      </c>
      <c r="AW25" s="610">
        <f>2489000+1438953</f>
        <v>3927953</v>
      </c>
      <c r="AX25" s="610">
        <f>859744167-AV25-AT25-AR25-AP25-AN25-AL25-AJ25-AH25-AF25-AD25</f>
        <v>55937967</v>
      </c>
      <c r="AY25" s="610">
        <v>0</v>
      </c>
      <c r="AZ25" s="610">
        <f>871491253-AD25-AF25-AH25-AJ25-AL25-AN25-AP25-AR25-AT25-AV25-AX25</f>
        <v>11747086</v>
      </c>
      <c r="BA25" s="610">
        <f>AY25+AW25+AU25+AS25+AQ25+AO25+AM25+AK25+AI25+AG25+AE25+AC25</f>
        <v>871902420</v>
      </c>
      <c r="BB25" s="610">
        <f>+AE25+AG25+AI25+AK25+AC25+AM25+AO25+AQ25+AS25+AU25+AW25+AY25</f>
        <v>871902420</v>
      </c>
      <c r="BC25" s="610">
        <f>AD25+AF25+AH25+AJ25+AL25+AN25+AP25+AR25+AT25+AV25+AX25+AZ25</f>
        <v>871491253</v>
      </c>
      <c r="BD25" s="610">
        <f t="shared" ref="BD25:BE28" si="38">+AC25+AE25+AG25+AI25+AK25+AM25+AO25+AQ25+AS25+AU25+AW25+AY25</f>
        <v>871902420</v>
      </c>
      <c r="BE25" s="610">
        <f t="shared" si="38"/>
        <v>871491253</v>
      </c>
      <c r="BF25" s="610">
        <v>841040000</v>
      </c>
      <c r="BG25" s="610">
        <v>817097000</v>
      </c>
      <c r="BH25" s="610">
        <v>817097000</v>
      </c>
      <c r="BI25" s="610">
        <v>0</v>
      </c>
      <c r="BJ25" s="610">
        <v>0</v>
      </c>
      <c r="BK25" s="610">
        <v>0</v>
      </c>
      <c r="BL25" s="610">
        <v>0</v>
      </c>
      <c r="BM25" s="610">
        <v>0</v>
      </c>
      <c r="BN25" s="610">
        <v>0</v>
      </c>
      <c r="BO25" s="610">
        <v>0</v>
      </c>
      <c r="BP25" s="610">
        <v>0</v>
      </c>
      <c r="BQ25" s="610">
        <v>0</v>
      </c>
      <c r="BR25" s="610">
        <v>0</v>
      </c>
      <c r="BS25" s="610">
        <v>0</v>
      </c>
      <c r="BT25" s="610">
        <v>0</v>
      </c>
      <c r="BU25" s="610">
        <v>0</v>
      </c>
      <c r="BV25" s="610">
        <v>0</v>
      </c>
      <c r="BW25" s="610">
        <v>0</v>
      </c>
      <c r="BX25" s="610">
        <v>0</v>
      </c>
      <c r="BY25" s="610">
        <v>0</v>
      </c>
      <c r="BZ25" s="610">
        <v>116222000</v>
      </c>
      <c r="CA25" s="610">
        <v>0</v>
      </c>
      <c r="CB25" s="610">
        <v>26921500</v>
      </c>
      <c r="CC25" s="610">
        <v>152696500</v>
      </c>
      <c r="CD25" s="610">
        <v>14229000</v>
      </c>
      <c r="CE25" s="610">
        <f>CC25+CA25+BY25+BW25+BS25+BQ25+BO25+BM25+BK25+BI25+BU25+BG25</f>
        <v>969793500</v>
      </c>
      <c r="CF25" s="610">
        <f>+BG25+BI25+BK25+BM25+BO25+BQ25+BS25+BU25+BW25+BY25+CA25+CC25</f>
        <v>969793500</v>
      </c>
      <c r="CG25" s="610">
        <f>BH25+BJ25+BL25+BN25+BP25+BR25+BT25+BV25+BX25+BZ25+CB25+CD25</f>
        <v>974469500</v>
      </c>
      <c r="CH25" s="610">
        <f>+BG25+BI25+BK25+BM25+BO25+BQ25+BS25+BU25+BW25+BY25+CA25+CC25</f>
        <v>969793500</v>
      </c>
      <c r="CI25" s="610">
        <f>+BH25+BJ25+BL25+BN25+BP25+BR25+BT25+BV25+BX25+BZ25+CB25+CD25</f>
        <v>974469500</v>
      </c>
      <c r="CJ25" s="610">
        <v>544955000</v>
      </c>
      <c r="CK25" s="610">
        <v>103640000</v>
      </c>
      <c r="CL25" s="610">
        <v>103640000</v>
      </c>
      <c r="CM25" s="610">
        <v>380939000</v>
      </c>
      <c r="CN25" s="610">
        <v>380939000</v>
      </c>
      <c r="CO25" s="610">
        <v>45702000</v>
      </c>
      <c r="CP25" s="610">
        <v>45702000</v>
      </c>
      <c r="CQ25" s="610">
        <v>14674000</v>
      </c>
      <c r="CR25" s="610">
        <v>0</v>
      </c>
      <c r="CS25" s="611">
        <v>0</v>
      </c>
      <c r="CT25" s="611">
        <v>0</v>
      </c>
      <c r="CU25" s="611">
        <v>0</v>
      </c>
      <c r="CV25" s="611">
        <v>0</v>
      </c>
      <c r="CW25" s="611">
        <v>0</v>
      </c>
      <c r="CX25" s="611">
        <v>0</v>
      </c>
      <c r="CY25" s="610">
        <v>0</v>
      </c>
      <c r="CZ25" s="610">
        <v>0</v>
      </c>
      <c r="DA25" s="611">
        <v>0</v>
      </c>
      <c r="DB25" s="611">
        <v>0</v>
      </c>
      <c r="DC25" s="610">
        <v>0</v>
      </c>
      <c r="DD25" s="610">
        <v>0</v>
      </c>
      <c r="DE25" s="611">
        <v>0</v>
      </c>
      <c r="DF25" s="611">
        <v>27820500</v>
      </c>
      <c r="DG25" s="611">
        <v>62441700</v>
      </c>
      <c r="DH25" s="611">
        <f>607396700-558101500</f>
        <v>49295200</v>
      </c>
      <c r="DI25" s="610">
        <f t="shared" si="35"/>
        <v>607396700</v>
      </c>
      <c r="DJ25" s="610">
        <f>+CK25+CM25+CO25+CQ25+CS25+CU25+CW25+CY25+DA25+DC25+DE25+DG25</f>
        <v>607396700</v>
      </c>
      <c r="DK25" s="610">
        <f>+CL25+CN25+CP25+CR25+CT25+CV25+CX25+CZ25+DB25+DD25+DF25+DH25</f>
        <v>607396700</v>
      </c>
      <c r="DL25" s="610">
        <f t="shared" si="36"/>
        <v>607396700</v>
      </c>
      <c r="DM25" s="610">
        <f t="shared" si="36"/>
        <v>607396700</v>
      </c>
      <c r="DN25" s="610">
        <v>679074000</v>
      </c>
      <c r="DO25" s="276"/>
      <c r="DP25" s="276"/>
      <c r="DQ25" s="276"/>
      <c r="DR25" s="276"/>
      <c r="DS25" s="276"/>
      <c r="DT25" s="276"/>
      <c r="DU25" s="276"/>
      <c r="DV25" s="276"/>
      <c r="DW25" s="276"/>
      <c r="DX25" s="276"/>
      <c r="DY25" s="276"/>
      <c r="DZ25" s="276"/>
      <c r="EA25" s="276"/>
      <c r="EB25" s="276"/>
      <c r="EC25" s="276"/>
      <c r="ED25" s="276"/>
      <c r="EE25" s="276"/>
      <c r="EF25" s="276"/>
      <c r="EG25" s="276"/>
      <c r="EH25" s="276"/>
      <c r="EI25" s="276"/>
      <c r="EJ25" s="276"/>
      <c r="EK25" s="276"/>
      <c r="EL25" s="276"/>
      <c r="EM25" s="612">
        <f>EK25+EI25+EG25+EE25+EC25+EA25+DY25+DW25+DU25+DS25+DQ25+DO25</f>
        <v>0</v>
      </c>
      <c r="EN25" s="278">
        <f t="shared" si="37"/>
        <v>0</v>
      </c>
      <c r="EO25" s="278">
        <f t="shared" si="37"/>
        <v>0</v>
      </c>
      <c r="EP25" s="277">
        <f>DQ25+DS25+DU25+DW25+DY25+EA25+EC25+EE25+EG25+EI25+EK25+DO25</f>
        <v>0</v>
      </c>
      <c r="EQ25" s="278">
        <f>DP25+DR25+DT25+DV25</f>
        <v>0</v>
      </c>
      <c r="ER25" s="273">
        <f>IFERROR(DF25/DE25,0)</f>
        <v>0</v>
      </c>
      <c r="ES25" s="274">
        <f t="shared" si="5"/>
        <v>1</v>
      </c>
      <c r="ET25" s="275">
        <f t="shared" si="6"/>
        <v>1</v>
      </c>
      <c r="EU25" s="275">
        <f t="shared" si="7"/>
        <v>1.001477261724131</v>
      </c>
      <c r="EV25" s="275">
        <f t="shared" si="8"/>
        <v>0.80980046643175818</v>
      </c>
      <c r="EW25" s="759"/>
      <c r="EX25" s="757"/>
      <c r="EY25" s="757"/>
      <c r="EZ25" s="807"/>
      <c r="FA25" s="805"/>
    </row>
    <row r="26" spans="1:157" s="206" customFormat="1" ht="28.7" customHeight="1" x14ac:dyDescent="0.25">
      <c r="A26" s="740"/>
      <c r="B26" s="745"/>
      <c r="C26" s="739"/>
      <c r="D26" s="750"/>
      <c r="E26" s="753"/>
      <c r="F26" s="192" t="s">
        <v>191</v>
      </c>
      <c r="G26" s="610"/>
      <c r="H26" s="311"/>
      <c r="I26" s="311"/>
      <c r="J26" s="276"/>
      <c r="K26" s="311"/>
      <c r="L26" s="276"/>
      <c r="M26" s="311"/>
      <c r="N26" s="276"/>
      <c r="O26" s="311"/>
      <c r="P26" s="276"/>
      <c r="Q26" s="311"/>
      <c r="R26" s="276"/>
      <c r="S26" s="311"/>
      <c r="T26" s="277"/>
      <c r="U26" s="312"/>
      <c r="V26" s="312"/>
      <c r="W26" s="313">
        <f>+U26</f>
        <v>0</v>
      </c>
      <c r="X26" s="612">
        <f t="shared" si="34"/>
        <v>0</v>
      </c>
      <c r="Y26" s="612">
        <f t="shared" si="34"/>
        <v>0</v>
      </c>
      <c r="Z26" s="610">
        <f>+V26</f>
        <v>0</v>
      </c>
      <c r="AA26" s="311">
        <f>+V26</f>
        <v>0</v>
      </c>
      <c r="AB26" s="311">
        <v>782551800</v>
      </c>
      <c r="AC26" s="276">
        <v>0</v>
      </c>
      <c r="AD26" s="311">
        <v>0</v>
      </c>
      <c r="AE26" s="276">
        <v>0</v>
      </c>
      <c r="AF26" s="311">
        <v>0</v>
      </c>
      <c r="AG26" s="276">
        <v>18050767</v>
      </c>
      <c r="AH26" s="311">
        <v>18050767</v>
      </c>
      <c r="AI26" s="276">
        <v>63217033</v>
      </c>
      <c r="AJ26" s="311">
        <v>63217033</v>
      </c>
      <c r="AK26" s="276">
        <f>173526567-AI26-AG26</f>
        <v>92258767</v>
      </c>
      <c r="AL26" s="311">
        <v>92258767</v>
      </c>
      <c r="AM26" s="277">
        <f>261157367-AK26-AI26-AG26-AE26-AC26</f>
        <v>87630800</v>
      </c>
      <c r="AN26" s="312">
        <f>261157367-AL26-AJ26-AH26-AF26-AD26</f>
        <v>87630800</v>
      </c>
      <c r="AO26" s="312">
        <v>86554000</v>
      </c>
      <c r="AP26" s="313">
        <f>347711367-AN26-AL26-AJ26-AH26-AF26-AD26</f>
        <v>86554000</v>
      </c>
      <c r="AQ26" s="612">
        <v>86554000</v>
      </c>
      <c r="AR26" s="612">
        <f>434265367-AP26-AN26-AL26-AJ26-AH26-AF26-AD26</f>
        <v>86554000</v>
      </c>
      <c r="AS26" s="610">
        <v>86554000</v>
      </c>
      <c r="AT26" s="610">
        <f>520819367-AR26-AP26-AN26-AL26-AJ26-AH26-AF26-AD26</f>
        <v>86554000</v>
      </c>
      <c r="AU26" s="610">
        <v>86554000</v>
      </c>
      <c r="AV26" s="610">
        <f>607373367-AT26-AR26-AP26-AN26-AL26-AJ26-AH26-AF26-AD26</f>
        <v>86554000</v>
      </c>
      <c r="AW26" s="610">
        <v>86554000</v>
      </c>
      <c r="AX26" s="610">
        <f>693927367-AV26-AT26-AR26-AP26-AN26-AL26-AJ26-AH26-AF26-AD26</f>
        <v>86554000</v>
      </c>
      <c r="AY26" s="610">
        <f>86135433+3565800-1076800+57543234+31807386</f>
        <v>177975053</v>
      </c>
      <c r="AZ26" s="610">
        <f>834953267-AX26-AV26-AT26-AR26-AP26-AN26-AL26-AJ26-AH26-AF26-AD26</f>
        <v>141025900</v>
      </c>
      <c r="BA26" s="610">
        <f>AY26+AW26+AU26+AS26+AQ26+AO26+AM26+AK26+AI26+AG26+AE26+AC26</f>
        <v>871902420</v>
      </c>
      <c r="BB26" s="610">
        <f>+AE26+AG26+AI26+AK26+AC26+AM26+AO26+AQ26+AS26+AU26+AW26+AY26</f>
        <v>871902420</v>
      </c>
      <c r="BC26" s="610">
        <f>AD26+AF26+AH26+AJ26+AL26+AN26+AP26+AR26+AT26+AV26+AX26+AZ26</f>
        <v>834953267</v>
      </c>
      <c r="BD26" s="610">
        <f t="shared" si="38"/>
        <v>871902420</v>
      </c>
      <c r="BE26" s="610">
        <f>+AD26+AF26+AH26+AJ26+AL26+AN26+AP26+AR26+AT26+AV26+AX26+AZ26</f>
        <v>834953267</v>
      </c>
      <c r="BF26" s="610">
        <v>841040000</v>
      </c>
      <c r="BG26" s="610">
        <v>0</v>
      </c>
      <c r="BH26" s="610">
        <v>0</v>
      </c>
      <c r="BI26" s="610">
        <v>24691400</v>
      </c>
      <c r="BJ26" s="610">
        <v>21140800</v>
      </c>
      <c r="BK26" s="610">
        <v>86282000</v>
      </c>
      <c r="BL26" s="610">
        <f>108731200-BJ26</f>
        <v>87590400</v>
      </c>
      <c r="BM26" s="610">
        <v>86282000</v>
      </c>
      <c r="BN26" s="610">
        <f>195013200-BL26-BJ26-BH26</f>
        <v>86282000</v>
      </c>
      <c r="BO26" s="610">
        <v>86282000</v>
      </c>
      <c r="BP26" s="610">
        <f>281295200-BN26-BL26-BJ26-BH26</f>
        <v>86282000</v>
      </c>
      <c r="BQ26" s="610">
        <v>86282000</v>
      </c>
      <c r="BR26" s="610">
        <v>86282000</v>
      </c>
      <c r="BS26" s="610">
        <v>86282000</v>
      </c>
      <c r="BT26" s="610">
        <v>86282000</v>
      </c>
      <c r="BU26" s="610">
        <v>86282000</v>
      </c>
      <c r="BV26" s="610">
        <v>86282000</v>
      </c>
      <c r="BW26" s="610">
        <v>86282000</v>
      </c>
      <c r="BX26" s="610">
        <v>86282000</v>
      </c>
      <c r="BY26" s="610">
        <v>86282000</v>
      </c>
      <c r="BZ26" s="610">
        <v>81885200</v>
      </c>
      <c r="CA26" s="610">
        <v>76259933</v>
      </c>
      <c r="CB26" s="610">
        <v>90532634</v>
      </c>
      <c r="CC26" s="610">
        <f>25889667+23943000+138345067+3045198-12636765</f>
        <v>178586167</v>
      </c>
      <c r="CD26" s="610">
        <v>138458100</v>
      </c>
      <c r="CE26" s="610">
        <f>CC26+CA26+BY26+BW26+BS26+BQ26+BO26+BM26+BK26+BI26+BU26+BG26</f>
        <v>969793500</v>
      </c>
      <c r="CF26" s="610">
        <f>+BI26+BK26+BM26+BO26+BG26+BQ26+BS26+BU26+BW26+BY26+CA26+CC26</f>
        <v>969793500</v>
      </c>
      <c r="CG26" s="610">
        <f>BH26+BJ26+BL26+BN26+BP26+BR26+BT26+BV26+BX26+BZ26+CB26+CD26</f>
        <v>937299134</v>
      </c>
      <c r="CH26" s="610">
        <f>+BG26+BI26+BK26+BM26+BO26+BQ26+BS26+BU26+BW26+BY26+CA26+CC26</f>
        <v>969793500</v>
      </c>
      <c r="CI26" s="610">
        <f>+BH26+BJ26+BL26+BN26+BP26+BR26+BT26+BV26+BX26+BZ26+CB26+CD26</f>
        <v>937299134</v>
      </c>
      <c r="CJ26" s="610">
        <f>+CK26+CM26+CO26+CQ26+CS26+CU26+CW26+CY26+DA26+DC26+DE26+DG26</f>
        <v>607396700</v>
      </c>
      <c r="CK26" s="610">
        <v>0</v>
      </c>
      <c r="CL26" s="610">
        <v>0</v>
      </c>
      <c r="CM26" s="610">
        <v>2671267</v>
      </c>
      <c r="CN26" s="610">
        <v>2671267</v>
      </c>
      <c r="CO26" s="610">
        <v>35531899</v>
      </c>
      <c r="CP26" s="610">
        <v>35531899</v>
      </c>
      <c r="CQ26" s="610">
        <v>50947933</v>
      </c>
      <c r="CR26" s="610">
        <v>49255267</v>
      </c>
      <c r="CS26" s="611">
        <v>54164000</v>
      </c>
      <c r="CT26" s="492">
        <v>54164000</v>
      </c>
      <c r="CU26" s="611">
        <v>54164000</v>
      </c>
      <c r="CV26" s="611">
        <v>54164000</v>
      </c>
      <c r="CW26" s="611">
        <v>57174000</v>
      </c>
      <c r="CX26" s="611">
        <v>54164000</v>
      </c>
      <c r="CY26" s="610">
        <v>57174000</v>
      </c>
      <c r="CZ26" s="610">
        <v>54164000</v>
      </c>
      <c r="DA26" s="611">
        <v>57174000</v>
      </c>
      <c r="DB26" s="611">
        <v>54164000</v>
      </c>
      <c r="DC26" s="610">
        <v>57174000</v>
      </c>
      <c r="DD26" s="610">
        <v>54164000</v>
      </c>
      <c r="DE26" s="611">
        <v>57174000</v>
      </c>
      <c r="DF26" s="611">
        <v>54164000</v>
      </c>
      <c r="DG26" s="611">
        <v>124047601</v>
      </c>
      <c r="DH26" s="611">
        <v>99579134</v>
      </c>
      <c r="DI26" s="610">
        <f t="shared" si="35"/>
        <v>607396700</v>
      </c>
      <c r="DJ26" s="610">
        <f>+CK26+CM26+CO26+CQ26+CS26+CU26+CW26+CY26+DA26+DC26+DE26+DG26</f>
        <v>607396700</v>
      </c>
      <c r="DK26" s="610">
        <f>+CL26+CN26+CP26+CR26+CT26+CV26+CX26+CZ26+DB26+DD26+DF26+DH26</f>
        <v>566185567</v>
      </c>
      <c r="DL26" s="610">
        <f t="shared" si="36"/>
        <v>607396700</v>
      </c>
      <c r="DM26" s="610">
        <f>+CL26+CN26+CP26+CT26+CV26+CX26+CZ26+DB26+DD26+DF26+CR26+DH26</f>
        <v>566185567</v>
      </c>
      <c r="DN26" s="610"/>
      <c r="DO26" s="610"/>
      <c r="DP26" s="610"/>
      <c r="DQ26" s="610"/>
      <c r="DR26" s="610"/>
      <c r="DS26" s="610"/>
      <c r="DT26" s="610"/>
      <c r="DU26" s="610"/>
      <c r="DV26" s="610"/>
      <c r="DW26" s="610"/>
      <c r="DX26" s="610"/>
      <c r="DY26" s="610"/>
      <c r="DZ26" s="610"/>
      <c r="EA26" s="610"/>
      <c r="EB26" s="610"/>
      <c r="EC26" s="610"/>
      <c r="ED26" s="610"/>
      <c r="EE26" s="610"/>
      <c r="EF26" s="610"/>
      <c r="EG26" s="610"/>
      <c r="EH26" s="276"/>
      <c r="EI26" s="276"/>
      <c r="EJ26" s="276"/>
      <c r="EK26" s="276"/>
      <c r="EL26" s="276"/>
      <c r="EM26" s="612">
        <f>EI26+EG26+EE26+EC26+EA26+DY26+DW26+DU26+DS26+DQ26+DO26+EK26</f>
        <v>0</v>
      </c>
      <c r="EN26" s="278">
        <f t="shared" si="37"/>
        <v>0</v>
      </c>
      <c r="EO26" s="278">
        <f t="shared" si="37"/>
        <v>0</v>
      </c>
      <c r="EP26" s="277">
        <f>DQ26+DS26+DU26+DW26+DY26+EA26+EC26+EE26+EG26+EI26+EK26</f>
        <v>0</v>
      </c>
      <c r="EQ26" s="278">
        <f>DP26+DR26+DT26+DV26</f>
        <v>0</v>
      </c>
      <c r="ER26" s="273">
        <f t="shared" si="4"/>
        <v>0.94735369223773047</v>
      </c>
      <c r="ES26" s="274">
        <f t="shared" si="5"/>
        <v>0.9321512069459712</v>
      </c>
      <c r="ET26" s="275">
        <f t="shared" si="6"/>
        <v>0.9321512069459712</v>
      </c>
      <c r="EU26" s="275">
        <f t="shared" si="7"/>
        <v>0.95481810238765086</v>
      </c>
      <c r="EV26" s="275">
        <f>IFERROR((BE26+AA26+CI26+DM26)/G26,0)</f>
        <v>0</v>
      </c>
      <c r="EW26" s="759"/>
      <c r="EX26" s="757"/>
      <c r="EY26" s="757"/>
      <c r="EZ26" s="807"/>
      <c r="FA26" s="805"/>
    </row>
    <row r="27" spans="1:157" s="212" customFormat="1" ht="28.7" customHeight="1" x14ac:dyDescent="0.25">
      <c r="A27" s="740"/>
      <c r="B27" s="745"/>
      <c r="C27" s="739"/>
      <c r="D27" s="750"/>
      <c r="E27" s="753"/>
      <c r="F27" s="217" t="s">
        <v>41</v>
      </c>
      <c r="G27" s="613">
        <f>AA27+BE27+CI27+DL27+DN27</f>
        <v>0</v>
      </c>
      <c r="H27" s="272">
        <v>0</v>
      </c>
      <c r="I27" s="272">
        <v>0</v>
      </c>
      <c r="J27" s="272">
        <v>0</v>
      </c>
      <c r="K27" s="272">
        <v>0</v>
      </c>
      <c r="L27" s="272">
        <v>0</v>
      </c>
      <c r="M27" s="272">
        <v>0</v>
      </c>
      <c r="N27" s="272">
        <v>0</v>
      </c>
      <c r="O27" s="272">
        <v>0</v>
      </c>
      <c r="P27" s="272">
        <v>0</v>
      </c>
      <c r="Q27" s="272">
        <v>0</v>
      </c>
      <c r="R27" s="272">
        <v>0</v>
      </c>
      <c r="S27" s="314">
        <v>0</v>
      </c>
      <c r="T27" s="614">
        <v>0</v>
      </c>
      <c r="U27" s="272">
        <v>0</v>
      </c>
      <c r="V27" s="614">
        <v>0</v>
      </c>
      <c r="W27" s="271">
        <f>+U27</f>
        <v>0</v>
      </c>
      <c r="X27" s="604">
        <f t="shared" si="34"/>
        <v>0</v>
      </c>
      <c r="Y27" s="604">
        <f t="shared" si="34"/>
        <v>0</v>
      </c>
      <c r="Z27" s="604">
        <f>+V27</f>
        <v>0</v>
      </c>
      <c r="AA27" s="604">
        <f>+V27</f>
        <v>0</v>
      </c>
      <c r="AB27" s="614">
        <v>0</v>
      </c>
      <c r="AC27" s="272">
        <v>0</v>
      </c>
      <c r="AD27" s="272">
        <v>0</v>
      </c>
      <c r="AE27" s="272">
        <v>0</v>
      </c>
      <c r="AF27" s="272">
        <v>0</v>
      </c>
      <c r="AG27" s="272">
        <v>0</v>
      </c>
      <c r="AH27" s="272">
        <v>0</v>
      </c>
      <c r="AI27" s="272">
        <v>0</v>
      </c>
      <c r="AJ27" s="272">
        <v>0</v>
      </c>
      <c r="AK27" s="614">
        <v>0</v>
      </c>
      <c r="AL27" s="614">
        <v>0</v>
      </c>
      <c r="AM27" s="614">
        <v>0</v>
      </c>
      <c r="AN27" s="614">
        <v>0</v>
      </c>
      <c r="AO27" s="614">
        <v>0</v>
      </c>
      <c r="AP27" s="614">
        <v>0</v>
      </c>
      <c r="AQ27" s="614">
        <v>0</v>
      </c>
      <c r="AR27" s="614">
        <v>0</v>
      </c>
      <c r="AS27" s="614">
        <v>0</v>
      </c>
      <c r="AT27" s="614">
        <v>0</v>
      </c>
      <c r="AU27" s="614">
        <v>0</v>
      </c>
      <c r="AV27" s="614">
        <v>0</v>
      </c>
      <c r="AW27" s="614">
        <v>0</v>
      </c>
      <c r="AX27" s="614">
        <v>0</v>
      </c>
      <c r="AY27" s="614">
        <v>0</v>
      </c>
      <c r="AZ27" s="272">
        <v>0</v>
      </c>
      <c r="BA27" s="604">
        <f>AY27+AW27+AU27+AS27+AQ27+AO27+AM27+AK27+AI27+AG27+AE27+AC27</f>
        <v>0</v>
      </c>
      <c r="BB27" s="604">
        <f>+AE27+AG27+AI27+AK27+AC27+AM27</f>
        <v>0</v>
      </c>
      <c r="BC27" s="604">
        <f>AD27+AF27+AH27+AJ27+AL27+AN27</f>
        <v>0</v>
      </c>
      <c r="BD27" s="604">
        <f t="shared" si="38"/>
        <v>0</v>
      </c>
      <c r="BE27" s="604">
        <f t="shared" si="38"/>
        <v>0</v>
      </c>
      <c r="BF27" s="303">
        <v>0</v>
      </c>
      <c r="BG27" s="303">
        <v>0</v>
      </c>
      <c r="BH27" s="303">
        <v>0</v>
      </c>
      <c r="BI27" s="303">
        <v>0</v>
      </c>
      <c r="BJ27" s="303">
        <v>0</v>
      </c>
      <c r="BK27" s="303">
        <v>0</v>
      </c>
      <c r="BL27" s="303">
        <v>0</v>
      </c>
      <c r="BM27" s="303">
        <v>0</v>
      </c>
      <c r="BN27" s="303">
        <v>0</v>
      </c>
      <c r="BO27" s="303">
        <v>0</v>
      </c>
      <c r="BP27" s="303">
        <v>0</v>
      </c>
      <c r="BQ27" s="303">
        <v>0</v>
      </c>
      <c r="BR27" s="303">
        <v>0</v>
      </c>
      <c r="BS27" s="303">
        <v>0</v>
      </c>
      <c r="BT27" s="277">
        <v>0</v>
      </c>
      <c r="BU27" s="303">
        <v>0</v>
      </c>
      <c r="BV27" s="303">
        <v>0</v>
      </c>
      <c r="BW27" s="303">
        <v>0</v>
      </c>
      <c r="BX27" s="303">
        <v>0</v>
      </c>
      <c r="BY27" s="303">
        <v>0</v>
      </c>
      <c r="BZ27" s="303">
        <v>0</v>
      </c>
      <c r="CA27" s="303">
        <v>0</v>
      </c>
      <c r="CB27" s="303">
        <v>0</v>
      </c>
      <c r="CC27" s="303">
        <v>0</v>
      </c>
      <c r="CD27" s="303">
        <v>0</v>
      </c>
      <c r="CE27" s="301">
        <f>CC27+CA27+BY27+BW27+BS27+BQ27+BO27+BM27+BK27+BI27+BU27+BG27</f>
        <v>0</v>
      </c>
      <c r="CF27" s="604">
        <f>+BG27+BI27+BK27+BM27+BO27+BQ27+BS27+BU27</f>
        <v>0</v>
      </c>
      <c r="CG27" s="279">
        <f>BH27+BJ27+BL27+BN27+BP27+BR27+BT27+BV27+BX27+BZ27+CB27+CD27</f>
        <v>0</v>
      </c>
      <c r="CH27" s="301">
        <f>+BG27+BI27+BK27+BM27+BO27+BQ27+BS27+BU27+BW27+BY27+CA27+CC27</f>
        <v>0</v>
      </c>
      <c r="CI27" s="301">
        <f>+BH27+BJ27+BL27+BN27+BP27+BR27+BT27+BV27+BX27+BZ27+CB27+CD27</f>
        <v>0</v>
      </c>
      <c r="CJ27" s="609">
        <f t="shared" si="9"/>
        <v>0</v>
      </c>
      <c r="CK27" s="272">
        <v>0</v>
      </c>
      <c r="CL27" s="272">
        <v>0</v>
      </c>
      <c r="CM27" s="272">
        <v>0</v>
      </c>
      <c r="CN27" s="272">
        <v>0</v>
      </c>
      <c r="CO27" s="272">
        <v>0</v>
      </c>
      <c r="CP27" s="272">
        <v>0</v>
      </c>
      <c r="CQ27" s="272">
        <v>0</v>
      </c>
      <c r="CR27" s="272">
        <v>0</v>
      </c>
      <c r="CS27" s="493">
        <v>0</v>
      </c>
      <c r="CT27" s="493">
        <v>0</v>
      </c>
      <c r="CU27" s="493">
        <v>0</v>
      </c>
      <c r="CV27" s="493">
        <v>0</v>
      </c>
      <c r="CW27" s="493">
        <v>0</v>
      </c>
      <c r="CX27" s="493">
        <v>0</v>
      </c>
      <c r="CY27" s="494">
        <v>0</v>
      </c>
      <c r="CZ27" s="494">
        <v>0</v>
      </c>
      <c r="DA27" s="493">
        <v>0</v>
      </c>
      <c r="DB27" s="493">
        <v>0</v>
      </c>
      <c r="DC27" s="272">
        <v>0</v>
      </c>
      <c r="DD27" s="272">
        <v>0</v>
      </c>
      <c r="DE27" s="493">
        <v>0</v>
      </c>
      <c r="DF27" s="493">
        <v>0</v>
      </c>
      <c r="DG27" s="493">
        <v>0</v>
      </c>
      <c r="DH27" s="493">
        <v>0</v>
      </c>
      <c r="DI27" s="604">
        <f t="shared" si="35"/>
        <v>0</v>
      </c>
      <c r="DJ27" s="604">
        <f>+CK27</f>
        <v>0</v>
      </c>
      <c r="DK27" s="604">
        <f>+CL27+CN27+CP27+CR27+CT27+CV27+CX27+CZ27+DB27+DD27+DF27+DH27</f>
        <v>0</v>
      </c>
      <c r="DL27" s="609">
        <f t="shared" si="36"/>
        <v>0</v>
      </c>
      <c r="DM27" s="604">
        <f t="shared" si="36"/>
        <v>0</v>
      </c>
      <c r="DN27" s="616"/>
      <c r="DO27" s="272"/>
      <c r="DP27" s="272"/>
      <c r="DQ27" s="272"/>
      <c r="DR27" s="272"/>
      <c r="DS27" s="272"/>
      <c r="DT27" s="272"/>
      <c r="DU27" s="272"/>
      <c r="DV27" s="272"/>
      <c r="DW27" s="272"/>
      <c r="DX27" s="272"/>
      <c r="DY27" s="272"/>
      <c r="DZ27" s="272"/>
      <c r="EA27" s="272"/>
      <c r="EB27" s="272"/>
      <c r="EC27" s="272"/>
      <c r="ED27" s="272"/>
      <c r="EE27" s="272"/>
      <c r="EF27" s="272"/>
      <c r="EG27" s="272"/>
      <c r="EH27" s="272"/>
      <c r="EI27" s="272"/>
      <c r="EJ27" s="272"/>
      <c r="EK27" s="272"/>
      <c r="EL27" s="272"/>
      <c r="EM27" s="604">
        <f>EI27+EG27+EE27+EC27+EA27+DY27+DW27+DU27+DS27+DQ27+DO27+EK27</f>
        <v>0</v>
      </c>
      <c r="EN27" s="302">
        <f t="shared" si="37"/>
        <v>0</v>
      </c>
      <c r="EO27" s="302">
        <f t="shared" si="37"/>
        <v>0</v>
      </c>
      <c r="EP27" s="303">
        <f>DQ27+DS27+DU27+DW27+DY27+EA27+EC27+EE27+EG27+EI27+EK27</f>
        <v>0</v>
      </c>
      <c r="EQ27" s="616">
        <v>0</v>
      </c>
      <c r="ER27" s="273">
        <f>IFERROR(DF27/DE27,0)</f>
        <v>0</v>
      </c>
      <c r="ES27" s="274">
        <f>IFERROR(+DK27/DJ27,0)</f>
        <v>0</v>
      </c>
      <c r="ET27" s="275">
        <f>IFERROR(+DM27/DL27,0)</f>
        <v>0</v>
      </c>
      <c r="EU27" s="275">
        <f>IFERROR(+(AA27+BE27+CI27+DK27)/(Z27+BD27+CH27+DJ27),0)</f>
        <v>0</v>
      </c>
      <c r="EV27" s="275">
        <f>IFERROR((BE27+AA27+CI27+DM27)/G27,0)</f>
        <v>0</v>
      </c>
      <c r="EW27" s="759"/>
      <c r="EX27" s="756"/>
      <c r="EY27" s="756"/>
      <c r="EZ27" s="807"/>
      <c r="FA27" s="805"/>
    </row>
    <row r="28" spans="1:157" s="208" customFormat="1" ht="28.7" customHeight="1" x14ac:dyDescent="0.25">
      <c r="A28" s="740"/>
      <c r="B28" s="745"/>
      <c r="C28" s="739"/>
      <c r="D28" s="750"/>
      <c r="E28" s="753"/>
      <c r="F28" s="211" t="s">
        <v>4</v>
      </c>
      <c r="G28" s="610">
        <f>AA28+BE28+CI28+DL28+DN28</f>
        <v>181318011</v>
      </c>
      <c r="H28" s="295">
        <v>0</v>
      </c>
      <c r="I28" s="295">
        <v>0</v>
      </c>
      <c r="J28" s="295">
        <v>0</v>
      </c>
      <c r="K28" s="295">
        <v>0</v>
      </c>
      <c r="L28" s="295">
        <v>0</v>
      </c>
      <c r="M28" s="295">
        <v>0</v>
      </c>
      <c r="N28" s="295">
        <v>0</v>
      </c>
      <c r="O28" s="295">
        <v>0</v>
      </c>
      <c r="P28" s="295">
        <v>0</v>
      </c>
      <c r="Q28" s="295">
        <v>0</v>
      </c>
      <c r="R28" s="295">
        <v>0</v>
      </c>
      <c r="S28" s="296">
        <v>0</v>
      </c>
      <c r="T28" s="644">
        <v>0</v>
      </c>
      <c r="U28" s="295">
        <v>0</v>
      </c>
      <c r="V28" s="295">
        <v>0</v>
      </c>
      <c r="W28" s="304">
        <f>+U28</f>
        <v>0</v>
      </c>
      <c r="X28" s="641">
        <f t="shared" si="34"/>
        <v>0</v>
      </c>
      <c r="Y28" s="641">
        <f t="shared" si="34"/>
        <v>0</v>
      </c>
      <c r="Z28" s="610">
        <f>+V28</f>
        <v>0</v>
      </c>
      <c r="AA28" s="311">
        <f>+V28</f>
        <v>0</v>
      </c>
      <c r="AB28" s="311">
        <v>107609660</v>
      </c>
      <c r="AC28" s="276">
        <v>22862100</v>
      </c>
      <c r="AD28" s="311">
        <v>22862100</v>
      </c>
      <c r="AE28" s="276">
        <f>76899533-AC28</f>
        <v>54037433</v>
      </c>
      <c r="AF28" s="311">
        <v>54037433</v>
      </c>
      <c r="AG28" s="276">
        <f>100187533-AE28-AC28</f>
        <v>23288000</v>
      </c>
      <c r="AH28" s="311">
        <v>23288000</v>
      </c>
      <c r="AI28" s="276">
        <f>105758900-AG28-AE28-AC28</f>
        <v>5571367</v>
      </c>
      <c r="AJ28" s="311">
        <v>5571367</v>
      </c>
      <c r="AK28" s="276">
        <v>0</v>
      </c>
      <c r="AL28" s="311">
        <v>0</v>
      </c>
      <c r="AM28" s="277">
        <v>1850760</v>
      </c>
      <c r="AN28" s="312">
        <f>107609660-AL28-AJ28-AH28-AF28-AD28</f>
        <v>1850760</v>
      </c>
      <c r="AO28" s="312">
        <v>0</v>
      </c>
      <c r="AP28" s="313">
        <v>0</v>
      </c>
      <c r="AQ28" s="612">
        <v>0</v>
      </c>
      <c r="AR28" s="612">
        <v>0</v>
      </c>
      <c r="AS28" s="610">
        <v>0</v>
      </c>
      <c r="AT28" s="610">
        <v>0</v>
      </c>
      <c r="AU28" s="610"/>
      <c r="AV28" s="610">
        <v>0</v>
      </c>
      <c r="AW28" s="610">
        <v>0</v>
      </c>
      <c r="AX28" s="610">
        <v>0</v>
      </c>
      <c r="AY28" s="610"/>
      <c r="AZ28" s="610">
        <v>0</v>
      </c>
      <c r="BA28" s="610">
        <f>AY28+AW28+AU28+AS28+AQ28+AO28+AM28+AK28+AI28+AG28+AE28+AC28</f>
        <v>107609660</v>
      </c>
      <c r="BB28" s="610">
        <f>+AE28+AG28+AI28+AK28+AC28+AM28+AO28+AQ28+AS28+AU28</f>
        <v>107609660</v>
      </c>
      <c r="BC28" s="610">
        <f>AD28+AF28+AH28+AJ28+AL28+AN28+AP28+AR28+AT28+AV28</f>
        <v>107609660</v>
      </c>
      <c r="BD28" s="610">
        <f t="shared" si="38"/>
        <v>107609660</v>
      </c>
      <c r="BE28" s="610">
        <f t="shared" si="38"/>
        <v>107609660</v>
      </c>
      <c r="BF28" s="610">
        <v>36537985</v>
      </c>
      <c r="BG28" s="610">
        <v>29738352</v>
      </c>
      <c r="BH28" s="610">
        <v>29738352</v>
      </c>
      <c r="BI28" s="610">
        <v>6799633</v>
      </c>
      <c r="BJ28" s="610">
        <v>6799633</v>
      </c>
      <c r="BK28" s="610">
        <v>0</v>
      </c>
      <c r="BL28" s="610">
        <v>0</v>
      </c>
      <c r="BM28" s="610">
        <v>0</v>
      </c>
      <c r="BN28" s="610">
        <v>0</v>
      </c>
      <c r="BO28" s="610"/>
      <c r="BP28" s="610"/>
      <c r="BQ28" s="610"/>
      <c r="BR28" s="610">
        <v>0</v>
      </c>
      <c r="BS28" s="610"/>
      <c r="BT28" s="610">
        <v>0</v>
      </c>
      <c r="BU28" s="610"/>
      <c r="BV28" s="610">
        <v>0</v>
      </c>
      <c r="BW28" s="610"/>
      <c r="BX28" s="610">
        <v>0</v>
      </c>
      <c r="BY28" s="610">
        <v>0</v>
      </c>
      <c r="BZ28" s="610">
        <v>0</v>
      </c>
      <c r="CA28" s="610">
        <v>0</v>
      </c>
      <c r="CB28" s="610">
        <v>0</v>
      </c>
      <c r="CC28" s="610"/>
      <c r="CD28" s="610">
        <v>0</v>
      </c>
      <c r="CE28" s="610">
        <f>CC28+CA28+BY28+BW28+BS28+BQ28+BO28+BM28+BK28+BI28+BU28+BG28</f>
        <v>36537985</v>
      </c>
      <c r="CF28" s="610">
        <f>+BG28+BI28+BK28+BM28+BO28+BQ28</f>
        <v>36537985</v>
      </c>
      <c r="CG28" s="610">
        <f>BH28+BJ28+BL28+BN28+BP28+BR28</f>
        <v>36537985</v>
      </c>
      <c r="CH28" s="610">
        <f>+BG28+BI28+BK28+BM28+BO28+BQ28+BS28+BU28+BW28+BY28+CA28+CC28</f>
        <v>36537985</v>
      </c>
      <c r="CI28" s="610">
        <f>+BH28+BJ28+BL28+BN28+BP28+BR28+BT28+BV28+BX28+BZ28+CB28+CD28</f>
        <v>36537985</v>
      </c>
      <c r="CJ28" s="610">
        <v>37170366</v>
      </c>
      <c r="CK28" s="610">
        <v>12519000</v>
      </c>
      <c r="CL28" s="610">
        <v>12519000</v>
      </c>
      <c r="CM28" s="610">
        <v>24651366</v>
      </c>
      <c r="CN28" s="610">
        <v>24651366</v>
      </c>
      <c r="CO28" s="610">
        <v>0</v>
      </c>
      <c r="CP28" s="610">
        <v>0</v>
      </c>
      <c r="CQ28" s="610">
        <v>0</v>
      </c>
      <c r="CR28" s="610">
        <v>0</v>
      </c>
      <c r="CS28" s="611">
        <v>0</v>
      </c>
      <c r="CT28" s="611">
        <v>0</v>
      </c>
      <c r="CU28" s="611">
        <v>0</v>
      </c>
      <c r="CV28" s="611">
        <v>0</v>
      </c>
      <c r="CW28" s="611">
        <v>0</v>
      </c>
      <c r="CX28" s="611">
        <v>0</v>
      </c>
      <c r="CY28" s="610">
        <v>0</v>
      </c>
      <c r="CZ28" s="610">
        <v>0</v>
      </c>
      <c r="DA28" s="611">
        <v>0</v>
      </c>
      <c r="DB28" s="611">
        <v>0</v>
      </c>
      <c r="DC28" s="610">
        <v>0</v>
      </c>
      <c r="DD28" s="610">
        <v>0</v>
      </c>
      <c r="DE28" s="611">
        <v>0</v>
      </c>
      <c r="DF28" s="611">
        <v>0</v>
      </c>
      <c r="DG28" s="611">
        <v>0</v>
      </c>
      <c r="DH28" s="611">
        <v>0</v>
      </c>
      <c r="DI28" s="610">
        <f t="shared" si="35"/>
        <v>37170366</v>
      </c>
      <c r="DJ28" s="610">
        <f>+CK28+CM28+CO28+CU28+CW28+CY28+DA28+DC28+DE28+DG28</f>
        <v>37170366</v>
      </c>
      <c r="DK28" s="610">
        <f>+CL28+CN28+CP28+CR28+CT28+CV28+CX28+CZ28+DB28+DD28+DF28+DH28</f>
        <v>37170366</v>
      </c>
      <c r="DL28" s="610">
        <f t="shared" si="36"/>
        <v>37170366</v>
      </c>
      <c r="DM28" s="610">
        <f t="shared" si="36"/>
        <v>37170366</v>
      </c>
      <c r="DN28" s="610"/>
      <c r="DO28" s="610"/>
      <c r="DP28" s="610"/>
      <c r="DQ28" s="610"/>
      <c r="DR28" s="610"/>
      <c r="DS28" s="610"/>
      <c r="DT28" s="610"/>
      <c r="DU28" s="610"/>
      <c r="DV28" s="610"/>
      <c r="DW28" s="610"/>
      <c r="DX28" s="610"/>
      <c r="DY28" s="610"/>
      <c r="DZ28" s="610"/>
      <c r="EA28" s="610"/>
      <c r="EB28" s="610"/>
      <c r="EC28" s="610"/>
      <c r="ED28" s="610"/>
      <c r="EE28" s="610"/>
      <c r="EF28" s="610"/>
      <c r="EG28" s="610"/>
      <c r="EH28" s="295"/>
      <c r="EI28" s="295"/>
      <c r="EJ28" s="295"/>
      <c r="EK28" s="295"/>
      <c r="EL28" s="295"/>
      <c r="EM28" s="639">
        <f>EI28+EG28+EE28+EC28+EA28+DY28+DW28+DU28+DS28+DQ28+DO28+EK28</f>
        <v>0</v>
      </c>
      <c r="EN28" s="278">
        <f t="shared" si="37"/>
        <v>0</v>
      </c>
      <c r="EO28" s="278">
        <f t="shared" si="37"/>
        <v>0</v>
      </c>
      <c r="EP28" s="305">
        <f>DQ28+DS28+DU28+DW28+DY28+EA28+EC28+EE28+EG28+EI28+EK28+DO28</f>
        <v>0</v>
      </c>
      <c r="EQ28" s="278">
        <f>DP28+DR28+DT28+DV28</f>
        <v>0</v>
      </c>
      <c r="ER28" s="273">
        <f>IFERROR(DF28/DE28,0)</f>
        <v>0</v>
      </c>
      <c r="ES28" s="274">
        <f t="shared" si="5"/>
        <v>1</v>
      </c>
      <c r="ET28" s="275">
        <f t="shared" si="6"/>
        <v>1</v>
      </c>
      <c r="EU28" s="275">
        <f t="shared" si="7"/>
        <v>1</v>
      </c>
      <c r="EV28" s="275">
        <f t="shared" si="8"/>
        <v>1</v>
      </c>
      <c r="EW28" s="759"/>
      <c r="EX28" s="757"/>
      <c r="EY28" s="757"/>
      <c r="EZ28" s="807"/>
      <c r="FA28" s="805"/>
    </row>
    <row r="29" spans="1:157" s="209" customFormat="1" ht="28.7" customHeight="1" thickBot="1" x14ac:dyDescent="0.3">
      <c r="A29" s="740"/>
      <c r="B29" s="746"/>
      <c r="C29" s="742"/>
      <c r="D29" s="751"/>
      <c r="E29" s="754"/>
      <c r="F29" s="218" t="s">
        <v>42</v>
      </c>
      <c r="G29" s="621">
        <f>G24+G27</f>
        <v>100</v>
      </c>
      <c r="H29" s="440">
        <f t="shared" ref="H29:BS29" si="39">+H24+H27</f>
        <v>10</v>
      </c>
      <c r="I29" s="440">
        <f t="shared" si="39"/>
        <v>10</v>
      </c>
      <c r="J29" s="440">
        <f t="shared" si="39"/>
        <v>0</v>
      </c>
      <c r="K29" s="440">
        <f t="shared" si="39"/>
        <v>10</v>
      </c>
      <c r="L29" s="440">
        <f t="shared" si="39"/>
        <v>0</v>
      </c>
      <c r="M29" s="440">
        <f t="shared" si="39"/>
        <v>10</v>
      </c>
      <c r="N29" s="440">
        <f t="shared" si="39"/>
        <v>0.67</v>
      </c>
      <c r="O29" s="440">
        <f t="shared" si="39"/>
        <v>10</v>
      </c>
      <c r="P29" s="440">
        <f t="shared" si="39"/>
        <v>2.37</v>
      </c>
      <c r="Q29" s="440">
        <f t="shared" si="39"/>
        <v>10</v>
      </c>
      <c r="R29" s="440">
        <f t="shared" si="39"/>
        <v>4.33</v>
      </c>
      <c r="S29" s="440">
        <f t="shared" si="39"/>
        <v>10</v>
      </c>
      <c r="T29" s="440">
        <f t="shared" si="39"/>
        <v>6.99</v>
      </c>
      <c r="U29" s="440">
        <f t="shared" si="39"/>
        <v>10</v>
      </c>
      <c r="V29" s="440">
        <f t="shared" si="39"/>
        <v>9.99</v>
      </c>
      <c r="W29" s="440">
        <f t="shared" si="39"/>
        <v>10</v>
      </c>
      <c r="X29" s="440">
        <f t="shared" si="39"/>
        <v>10</v>
      </c>
      <c r="Y29" s="440">
        <f t="shared" si="39"/>
        <v>9.99</v>
      </c>
      <c r="Z29" s="440">
        <f t="shared" si="39"/>
        <v>10</v>
      </c>
      <c r="AA29" s="440">
        <f t="shared" si="39"/>
        <v>10</v>
      </c>
      <c r="AB29" s="440">
        <f t="shared" si="39"/>
        <v>12</v>
      </c>
      <c r="AC29" s="440">
        <f t="shared" si="39"/>
        <v>0.6</v>
      </c>
      <c r="AD29" s="440">
        <f t="shared" si="39"/>
        <v>0.6</v>
      </c>
      <c r="AE29" s="440">
        <f t="shared" si="39"/>
        <v>0.84</v>
      </c>
      <c r="AF29" s="440">
        <f t="shared" si="39"/>
        <v>0.84</v>
      </c>
      <c r="AG29" s="440">
        <f t="shared" si="39"/>
        <v>1.32</v>
      </c>
      <c r="AH29" s="440">
        <f t="shared" si="39"/>
        <v>1.32</v>
      </c>
      <c r="AI29" s="440">
        <f t="shared" si="39"/>
        <v>1.32</v>
      </c>
      <c r="AJ29" s="440">
        <f t="shared" si="39"/>
        <v>1.32</v>
      </c>
      <c r="AK29" s="440">
        <f t="shared" si="39"/>
        <v>1.32</v>
      </c>
      <c r="AL29" s="440">
        <f t="shared" si="39"/>
        <v>1.32</v>
      </c>
      <c r="AM29" s="440">
        <f t="shared" si="39"/>
        <v>1.32</v>
      </c>
      <c r="AN29" s="441">
        <f t="shared" si="39"/>
        <v>1.32</v>
      </c>
      <c r="AO29" s="440">
        <f t="shared" si="39"/>
        <v>1.32</v>
      </c>
      <c r="AP29" s="440">
        <f t="shared" si="39"/>
        <v>1.32</v>
      </c>
      <c r="AQ29" s="441">
        <f t="shared" si="39"/>
        <v>1.32</v>
      </c>
      <c r="AR29" s="441">
        <f t="shared" si="39"/>
        <v>1.32</v>
      </c>
      <c r="AS29" s="440">
        <f t="shared" si="39"/>
        <v>1.32</v>
      </c>
      <c r="AT29" s="440">
        <f t="shared" si="39"/>
        <v>1.32</v>
      </c>
      <c r="AU29" s="440">
        <f t="shared" si="39"/>
        <v>0.96</v>
      </c>
      <c r="AV29" s="440">
        <f t="shared" si="39"/>
        <v>0.96</v>
      </c>
      <c r="AW29" s="440">
        <f t="shared" si="39"/>
        <v>0.18</v>
      </c>
      <c r="AX29" s="440">
        <f t="shared" si="39"/>
        <v>0.18</v>
      </c>
      <c r="AY29" s="440">
        <f t="shared" si="39"/>
        <v>0.18</v>
      </c>
      <c r="AZ29" s="440">
        <f t="shared" si="39"/>
        <v>0.18</v>
      </c>
      <c r="BA29" s="440">
        <f t="shared" si="39"/>
        <v>12</v>
      </c>
      <c r="BB29" s="642">
        <f t="shared" si="39"/>
        <v>12</v>
      </c>
      <c r="BC29" s="642">
        <f t="shared" si="39"/>
        <v>12</v>
      </c>
      <c r="BD29" s="642">
        <f t="shared" si="39"/>
        <v>12</v>
      </c>
      <c r="BE29" s="642">
        <f t="shared" si="39"/>
        <v>12</v>
      </c>
      <c r="BF29" s="440">
        <f>+BF24+BF27</f>
        <v>31</v>
      </c>
      <c r="BG29" s="442">
        <f t="shared" si="39"/>
        <v>1.5</v>
      </c>
      <c r="BH29" s="442">
        <f t="shared" si="39"/>
        <v>1.5</v>
      </c>
      <c r="BI29" s="442">
        <f t="shared" si="39"/>
        <v>2.8</v>
      </c>
      <c r="BJ29" s="442">
        <f t="shared" si="39"/>
        <v>2.8</v>
      </c>
      <c r="BK29" s="442">
        <f t="shared" si="39"/>
        <v>2.8</v>
      </c>
      <c r="BL29" s="442">
        <f t="shared" si="39"/>
        <v>2</v>
      </c>
      <c r="BM29" s="442">
        <f t="shared" si="39"/>
        <v>2.8</v>
      </c>
      <c r="BN29" s="442">
        <f t="shared" si="39"/>
        <v>2.8</v>
      </c>
      <c r="BO29" s="442">
        <f t="shared" si="39"/>
        <v>2.8</v>
      </c>
      <c r="BP29" s="442">
        <f t="shared" si="39"/>
        <v>3.5999999999999996</v>
      </c>
      <c r="BQ29" s="442">
        <f t="shared" si="39"/>
        <v>2.8</v>
      </c>
      <c r="BR29" s="442">
        <f t="shared" si="39"/>
        <v>2.8</v>
      </c>
      <c r="BS29" s="442">
        <f t="shared" si="39"/>
        <v>2.8</v>
      </c>
      <c r="BT29" s="442">
        <f t="shared" ref="BT29:CC29" si="40">+BT24+BT27</f>
        <v>2.8</v>
      </c>
      <c r="BU29" s="442">
        <f t="shared" si="40"/>
        <v>2.8</v>
      </c>
      <c r="BV29" s="442">
        <f t="shared" si="40"/>
        <v>2.8</v>
      </c>
      <c r="BW29" s="442">
        <f t="shared" si="40"/>
        <v>2.8</v>
      </c>
      <c r="BX29" s="442">
        <f t="shared" si="40"/>
        <v>2.8</v>
      </c>
      <c r="BY29" s="442">
        <f t="shared" si="40"/>
        <v>2.8</v>
      </c>
      <c r="BZ29" s="442">
        <f t="shared" si="40"/>
        <v>2.76</v>
      </c>
      <c r="CA29" s="442">
        <f t="shared" si="40"/>
        <v>2.8</v>
      </c>
      <c r="CB29" s="442">
        <f t="shared" si="40"/>
        <v>2.84</v>
      </c>
      <c r="CC29" s="442">
        <f t="shared" si="40"/>
        <v>1.5</v>
      </c>
      <c r="CD29" s="442">
        <v>1.5</v>
      </c>
      <c r="CE29" s="642">
        <f>+CE24+CE27</f>
        <v>31.000000000000004</v>
      </c>
      <c r="CF29" s="623">
        <f>+BG29+BI29+BK29+BM29+BO29+BQ29+BS29+BU29</f>
        <v>21.1</v>
      </c>
      <c r="CG29" s="642">
        <f>+CG24+CG27</f>
        <v>31.000000000000004</v>
      </c>
      <c r="CH29" s="642">
        <f>+CH24+CH27</f>
        <v>31.000000000000004</v>
      </c>
      <c r="CI29" s="642">
        <f>+CI24+CI27</f>
        <v>31</v>
      </c>
      <c r="CJ29" s="642">
        <f t="shared" ref="CJ29:DH29" si="41">+CJ24+CJ27</f>
        <v>27</v>
      </c>
      <c r="CK29" s="642">
        <f t="shared" si="41"/>
        <v>0</v>
      </c>
      <c r="CL29" s="642">
        <f t="shared" si="41"/>
        <v>0</v>
      </c>
      <c r="CM29" s="642">
        <f t="shared" si="41"/>
        <v>2.7</v>
      </c>
      <c r="CN29" s="642">
        <f t="shared" si="41"/>
        <v>2.7</v>
      </c>
      <c r="CO29" s="642">
        <f t="shared" si="41"/>
        <v>3.92</v>
      </c>
      <c r="CP29" s="642">
        <f t="shared" si="41"/>
        <v>3.92</v>
      </c>
      <c r="CQ29" s="642">
        <f t="shared" si="41"/>
        <v>5.27</v>
      </c>
      <c r="CR29" s="642">
        <f t="shared" si="41"/>
        <v>5.27</v>
      </c>
      <c r="CS29" s="645">
        <f t="shared" si="41"/>
        <v>5.27</v>
      </c>
      <c r="CT29" s="645">
        <f t="shared" si="41"/>
        <v>5.27</v>
      </c>
      <c r="CU29" s="645">
        <f t="shared" si="41"/>
        <v>1.22</v>
      </c>
      <c r="CV29" s="645">
        <f t="shared" ref="CV29" si="42">+CV24+CV27</f>
        <v>1.22</v>
      </c>
      <c r="CW29" s="645">
        <f t="shared" si="41"/>
        <v>1.22</v>
      </c>
      <c r="CX29" s="645">
        <f t="shared" si="41"/>
        <v>1.22</v>
      </c>
      <c r="CY29" s="642">
        <f t="shared" si="41"/>
        <v>1.22</v>
      </c>
      <c r="CZ29" s="642">
        <f>+CZ24+CZ27</f>
        <v>1.22</v>
      </c>
      <c r="DA29" s="645">
        <f t="shared" si="41"/>
        <v>1.62</v>
      </c>
      <c r="DB29" s="645">
        <f>+DB24+DB27</f>
        <v>1.62</v>
      </c>
      <c r="DC29" s="642">
        <f t="shared" si="41"/>
        <v>1.62</v>
      </c>
      <c r="DD29" s="642">
        <f>+DD24+DD27</f>
        <v>1.62</v>
      </c>
      <c r="DE29" s="645">
        <f t="shared" si="41"/>
        <v>1.62</v>
      </c>
      <c r="DF29" s="645">
        <f>+DF24+DF27</f>
        <v>1.62</v>
      </c>
      <c r="DG29" s="645">
        <f t="shared" si="41"/>
        <v>1.32</v>
      </c>
      <c r="DH29" s="645">
        <f t="shared" si="41"/>
        <v>1.32</v>
      </c>
      <c r="DI29" s="623">
        <f t="shared" si="35"/>
        <v>27</v>
      </c>
      <c r="DJ29" s="623">
        <f>+CK29+CM29+CO29+CQ29+CS29+CU29+CW29+CY29+DA29+DC29+DE29+DG29</f>
        <v>27</v>
      </c>
      <c r="DK29" s="623">
        <f>+CL29+CN29+CP29+CR29+CT29+CV29+CX29+CZ29+DB29+DD29+DF29+DH29</f>
        <v>27</v>
      </c>
      <c r="DL29" s="623">
        <f t="shared" si="36"/>
        <v>27</v>
      </c>
      <c r="DM29" s="623">
        <f t="shared" si="36"/>
        <v>27</v>
      </c>
      <c r="DN29" s="440">
        <f t="shared" ref="DN29:EE29" si="43">+DN24+DN27</f>
        <v>20</v>
      </c>
      <c r="DO29" s="440">
        <f t="shared" si="43"/>
        <v>0</v>
      </c>
      <c r="DP29" s="440">
        <f t="shared" si="43"/>
        <v>0</v>
      </c>
      <c r="DQ29" s="440">
        <f t="shared" si="43"/>
        <v>0</v>
      </c>
      <c r="DR29" s="440">
        <f t="shared" si="43"/>
        <v>0</v>
      </c>
      <c r="DS29" s="440">
        <f t="shared" si="43"/>
        <v>0</v>
      </c>
      <c r="DT29" s="440">
        <f t="shared" si="43"/>
        <v>0</v>
      </c>
      <c r="DU29" s="440">
        <f t="shared" si="43"/>
        <v>0</v>
      </c>
      <c r="DV29" s="440">
        <f t="shared" si="43"/>
        <v>0</v>
      </c>
      <c r="DW29" s="440">
        <f t="shared" si="43"/>
        <v>0</v>
      </c>
      <c r="DX29" s="440">
        <f t="shared" si="43"/>
        <v>0</v>
      </c>
      <c r="DY29" s="440">
        <f t="shared" si="43"/>
        <v>0</v>
      </c>
      <c r="DZ29" s="440">
        <f t="shared" si="43"/>
        <v>0</v>
      </c>
      <c r="EA29" s="440">
        <f t="shared" si="43"/>
        <v>0</v>
      </c>
      <c r="EB29" s="440">
        <f t="shared" si="43"/>
        <v>0</v>
      </c>
      <c r="EC29" s="440">
        <f t="shared" si="43"/>
        <v>0</v>
      </c>
      <c r="ED29" s="440">
        <f t="shared" si="43"/>
        <v>0</v>
      </c>
      <c r="EE29" s="440">
        <f t="shared" si="43"/>
        <v>0</v>
      </c>
      <c r="EF29" s="440">
        <f t="shared" ref="EF29:EQ29" si="44">+EF24+EF27</f>
        <v>0</v>
      </c>
      <c r="EG29" s="440">
        <f t="shared" si="44"/>
        <v>0</v>
      </c>
      <c r="EH29" s="440">
        <f t="shared" si="44"/>
        <v>0</v>
      </c>
      <c r="EI29" s="440">
        <f t="shared" si="44"/>
        <v>0</v>
      </c>
      <c r="EJ29" s="440">
        <f t="shared" si="44"/>
        <v>0</v>
      </c>
      <c r="EK29" s="440">
        <f t="shared" si="44"/>
        <v>0</v>
      </c>
      <c r="EL29" s="440">
        <f t="shared" si="44"/>
        <v>0</v>
      </c>
      <c r="EM29" s="440">
        <f t="shared" si="44"/>
        <v>0</v>
      </c>
      <c r="EN29" s="440">
        <f t="shared" si="44"/>
        <v>0</v>
      </c>
      <c r="EO29" s="440">
        <f t="shared" si="44"/>
        <v>0</v>
      </c>
      <c r="EP29" s="440">
        <f t="shared" si="44"/>
        <v>0</v>
      </c>
      <c r="EQ29" s="440">
        <f t="shared" si="44"/>
        <v>0</v>
      </c>
      <c r="ER29" s="435">
        <f t="shared" si="4"/>
        <v>1</v>
      </c>
      <c r="ES29" s="436">
        <f t="shared" si="5"/>
        <v>1</v>
      </c>
      <c r="ET29" s="437">
        <f t="shared" si="6"/>
        <v>1</v>
      </c>
      <c r="EU29" s="437">
        <f>+(AA29+BE29+CI29+DK29)/(Z29+BD29+CH29+DJ29)</f>
        <v>1</v>
      </c>
      <c r="EV29" s="437">
        <f>(BE29+AA29+CI29+DM29)/G29</f>
        <v>0.8</v>
      </c>
      <c r="EW29" s="759"/>
      <c r="EX29" s="756"/>
      <c r="EY29" s="756"/>
      <c r="EZ29" s="807"/>
      <c r="FA29" s="805"/>
    </row>
    <row r="30" spans="1:157" s="220" customFormat="1" ht="28.7" customHeight="1" thickBot="1" x14ac:dyDescent="0.3">
      <c r="A30" s="741"/>
      <c r="B30" s="747"/>
      <c r="C30" s="743"/>
      <c r="D30" s="727"/>
      <c r="E30" s="755"/>
      <c r="F30" s="219" t="s">
        <v>44</v>
      </c>
      <c r="G30" s="281">
        <f>G25+G28</f>
        <v>3751642224</v>
      </c>
      <c r="H30" s="282">
        <f t="shared" ref="H30:BS30" si="45">H25+H28</f>
        <v>445395000</v>
      </c>
      <c r="I30" s="282">
        <f t="shared" si="45"/>
        <v>445395000</v>
      </c>
      <c r="J30" s="282">
        <f t="shared" si="45"/>
        <v>0</v>
      </c>
      <c r="K30" s="282">
        <f t="shared" si="45"/>
        <v>445395000</v>
      </c>
      <c r="L30" s="282">
        <f t="shared" si="45"/>
        <v>0</v>
      </c>
      <c r="M30" s="282">
        <f t="shared" si="45"/>
        <v>431395000</v>
      </c>
      <c r="N30" s="282">
        <f t="shared" si="45"/>
        <v>295376000</v>
      </c>
      <c r="O30" s="282">
        <f t="shared" si="45"/>
        <v>431395000</v>
      </c>
      <c r="P30" s="282">
        <f t="shared" si="45"/>
        <v>326747000</v>
      </c>
      <c r="Q30" s="282">
        <f t="shared" si="45"/>
        <v>431395000</v>
      </c>
      <c r="R30" s="282">
        <f t="shared" si="45"/>
        <v>326747000</v>
      </c>
      <c r="S30" s="282">
        <f t="shared" si="45"/>
        <v>444111653</v>
      </c>
      <c r="T30" s="282">
        <f t="shared" si="45"/>
        <v>326747000</v>
      </c>
      <c r="U30" s="282">
        <f t="shared" si="45"/>
        <v>444111653</v>
      </c>
      <c r="V30" s="282">
        <f t="shared" si="45"/>
        <v>437892760</v>
      </c>
      <c r="W30" s="282">
        <f t="shared" si="45"/>
        <v>444111653</v>
      </c>
      <c r="X30" s="282">
        <f t="shared" si="45"/>
        <v>444111653</v>
      </c>
      <c r="Y30" s="282">
        <f t="shared" si="45"/>
        <v>437892760</v>
      </c>
      <c r="Z30" s="282">
        <f t="shared" si="45"/>
        <v>437892760</v>
      </c>
      <c r="AA30" s="282">
        <f t="shared" si="45"/>
        <v>437892760</v>
      </c>
      <c r="AB30" s="282">
        <f t="shared" si="45"/>
        <v>889084660</v>
      </c>
      <c r="AC30" s="282">
        <f t="shared" si="45"/>
        <v>22862100</v>
      </c>
      <c r="AD30" s="282">
        <f t="shared" si="45"/>
        <v>22862100</v>
      </c>
      <c r="AE30" s="282">
        <f t="shared" si="45"/>
        <v>480853433</v>
      </c>
      <c r="AF30" s="282">
        <f t="shared" si="45"/>
        <v>480853433</v>
      </c>
      <c r="AG30" s="282">
        <f t="shared" si="45"/>
        <v>375458000</v>
      </c>
      <c r="AH30" s="282">
        <f t="shared" si="45"/>
        <v>375458000</v>
      </c>
      <c r="AI30" s="282">
        <f t="shared" si="45"/>
        <v>5571367</v>
      </c>
      <c r="AJ30" s="282">
        <f t="shared" si="45"/>
        <v>5571367</v>
      </c>
      <c r="AK30" s="282">
        <f t="shared" si="45"/>
        <v>1076800</v>
      </c>
      <c r="AL30" s="282">
        <f t="shared" si="45"/>
        <v>1076800</v>
      </c>
      <c r="AM30" s="282">
        <f t="shared" si="45"/>
        <v>1850760</v>
      </c>
      <c r="AN30" s="282">
        <f t="shared" si="45"/>
        <v>1850760</v>
      </c>
      <c r="AO30" s="282">
        <f t="shared" si="45"/>
        <v>0</v>
      </c>
      <c r="AP30" s="282">
        <f t="shared" si="45"/>
        <v>0</v>
      </c>
      <c r="AQ30" s="282">
        <f t="shared" si="45"/>
        <v>0</v>
      </c>
      <c r="AR30" s="282">
        <f t="shared" si="45"/>
        <v>0</v>
      </c>
      <c r="AS30" s="282">
        <f t="shared" si="45"/>
        <v>57543234</v>
      </c>
      <c r="AT30" s="282">
        <f t="shared" si="45"/>
        <v>2164067</v>
      </c>
      <c r="AU30" s="282">
        <f t="shared" si="45"/>
        <v>30368433</v>
      </c>
      <c r="AV30" s="282">
        <f t="shared" si="45"/>
        <v>21579333</v>
      </c>
      <c r="AW30" s="282">
        <f t="shared" si="45"/>
        <v>3927953</v>
      </c>
      <c r="AX30" s="282">
        <f t="shared" si="45"/>
        <v>55937967</v>
      </c>
      <c r="AY30" s="282">
        <f t="shared" si="45"/>
        <v>0</v>
      </c>
      <c r="AZ30" s="282">
        <f t="shared" si="45"/>
        <v>11747086</v>
      </c>
      <c r="BA30" s="282">
        <f t="shared" si="45"/>
        <v>979512080</v>
      </c>
      <c r="BB30" s="282">
        <f t="shared" si="45"/>
        <v>979512080</v>
      </c>
      <c r="BC30" s="282">
        <f t="shared" si="45"/>
        <v>979100913</v>
      </c>
      <c r="BD30" s="282">
        <f t="shared" si="45"/>
        <v>979512080</v>
      </c>
      <c r="BE30" s="282">
        <f t="shared" si="45"/>
        <v>979100913</v>
      </c>
      <c r="BF30" s="282">
        <f t="shared" si="45"/>
        <v>877577985</v>
      </c>
      <c r="BG30" s="282">
        <f t="shared" si="45"/>
        <v>846835352</v>
      </c>
      <c r="BH30" s="282">
        <f t="shared" si="45"/>
        <v>846835352</v>
      </c>
      <c r="BI30" s="282">
        <f t="shared" si="45"/>
        <v>6799633</v>
      </c>
      <c r="BJ30" s="282">
        <f t="shared" si="45"/>
        <v>6799633</v>
      </c>
      <c r="BK30" s="282">
        <f t="shared" si="45"/>
        <v>0</v>
      </c>
      <c r="BL30" s="282">
        <f t="shared" si="45"/>
        <v>0</v>
      </c>
      <c r="BM30" s="282">
        <f t="shared" si="45"/>
        <v>0</v>
      </c>
      <c r="BN30" s="282">
        <f t="shared" si="45"/>
        <v>0</v>
      </c>
      <c r="BO30" s="282">
        <f t="shared" si="45"/>
        <v>0</v>
      </c>
      <c r="BP30" s="282">
        <f t="shared" si="45"/>
        <v>0</v>
      </c>
      <c r="BQ30" s="282">
        <f t="shared" si="45"/>
        <v>0</v>
      </c>
      <c r="BR30" s="282">
        <f t="shared" si="45"/>
        <v>0</v>
      </c>
      <c r="BS30" s="282">
        <f t="shared" si="45"/>
        <v>0</v>
      </c>
      <c r="BT30" s="282">
        <f t="shared" ref="BT30:DM30" si="46">BT25+BT28</f>
        <v>0</v>
      </c>
      <c r="BU30" s="282">
        <f t="shared" si="46"/>
        <v>0</v>
      </c>
      <c r="BV30" s="282">
        <f t="shared" si="46"/>
        <v>0</v>
      </c>
      <c r="BW30" s="282">
        <f t="shared" si="46"/>
        <v>0</v>
      </c>
      <c r="BX30" s="282">
        <f t="shared" si="46"/>
        <v>0</v>
      </c>
      <c r="BY30" s="282">
        <f t="shared" si="46"/>
        <v>0</v>
      </c>
      <c r="BZ30" s="282">
        <f t="shared" si="46"/>
        <v>116222000</v>
      </c>
      <c r="CA30" s="282">
        <f t="shared" si="46"/>
        <v>0</v>
      </c>
      <c r="CB30" s="282">
        <f t="shared" si="46"/>
        <v>26921500</v>
      </c>
      <c r="CC30" s="282">
        <f t="shared" si="46"/>
        <v>152696500</v>
      </c>
      <c r="CD30" s="282">
        <f t="shared" si="46"/>
        <v>14229000</v>
      </c>
      <c r="CE30" s="282">
        <f t="shared" si="46"/>
        <v>1006331485</v>
      </c>
      <c r="CF30" s="282">
        <f t="shared" si="46"/>
        <v>1006331485</v>
      </c>
      <c r="CG30" s="282">
        <f t="shared" si="46"/>
        <v>1011007485</v>
      </c>
      <c r="CH30" s="282">
        <f t="shared" si="46"/>
        <v>1006331485</v>
      </c>
      <c r="CI30" s="282">
        <f t="shared" si="46"/>
        <v>1011007485</v>
      </c>
      <c r="CJ30" s="282">
        <f t="shared" si="46"/>
        <v>582125366</v>
      </c>
      <c r="CK30" s="282">
        <f t="shared" si="46"/>
        <v>116159000</v>
      </c>
      <c r="CL30" s="282">
        <f t="shared" si="46"/>
        <v>116159000</v>
      </c>
      <c r="CM30" s="282">
        <f t="shared" si="46"/>
        <v>405590366</v>
      </c>
      <c r="CN30" s="282">
        <f t="shared" si="46"/>
        <v>405590366</v>
      </c>
      <c r="CO30" s="282">
        <f t="shared" si="46"/>
        <v>45702000</v>
      </c>
      <c r="CP30" s="282">
        <f t="shared" si="46"/>
        <v>45702000</v>
      </c>
      <c r="CQ30" s="282">
        <f t="shared" si="46"/>
        <v>14674000</v>
      </c>
      <c r="CR30" s="282">
        <f t="shared" si="46"/>
        <v>0</v>
      </c>
      <c r="CS30" s="495">
        <f t="shared" si="46"/>
        <v>0</v>
      </c>
      <c r="CT30" s="495">
        <f t="shared" si="46"/>
        <v>0</v>
      </c>
      <c r="CU30" s="495">
        <f t="shared" si="46"/>
        <v>0</v>
      </c>
      <c r="CV30" s="495">
        <f t="shared" ref="CV30" si="47">CV25+CV28</f>
        <v>0</v>
      </c>
      <c r="CW30" s="495">
        <f t="shared" si="46"/>
        <v>0</v>
      </c>
      <c r="CX30" s="495">
        <f>CX25+CX28</f>
        <v>0</v>
      </c>
      <c r="CY30" s="282">
        <f t="shared" si="46"/>
        <v>0</v>
      </c>
      <c r="CZ30" s="282">
        <f>CZ25+CZ28</f>
        <v>0</v>
      </c>
      <c r="DA30" s="495">
        <f t="shared" si="46"/>
        <v>0</v>
      </c>
      <c r="DB30" s="495">
        <f t="shared" ref="DB30" si="48">DB25+DB28</f>
        <v>0</v>
      </c>
      <c r="DC30" s="282">
        <f t="shared" si="46"/>
        <v>0</v>
      </c>
      <c r="DD30" s="282">
        <f>+DD25+DD28</f>
        <v>0</v>
      </c>
      <c r="DE30" s="495">
        <f t="shared" si="46"/>
        <v>0</v>
      </c>
      <c r="DF30" s="495">
        <f t="shared" ref="DF30" si="49">DF25+DF28</f>
        <v>27820500</v>
      </c>
      <c r="DG30" s="495">
        <f t="shared" si="46"/>
        <v>62441700</v>
      </c>
      <c r="DH30" s="495">
        <f t="shared" ref="DH30" si="50">DH25+DH28</f>
        <v>49295200</v>
      </c>
      <c r="DI30" s="282">
        <f t="shared" si="46"/>
        <v>644567066</v>
      </c>
      <c r="DJ30" s="282">
        <f t="shared" si="46"/>
        <v>644567066</v>
      </c>
      <c r="DK30" s="282">
        <f t="shared" si="46"/>
        <v>644567066</v>
      </c>
      <c r="DL30" s="282">
        <f t="shared" si="46"/>
        <v>644567066</v>
      </c>
      <c r="DM30" s="282">
        <f t="shared" si="46"/>
        <v>644567066</v>
      </c>
      <c r="DN30" s="282">
        <f>DN25+DN28</f>
        <v>679074000</v>
      </c>
      <c r="DO30" s="496">
        <f t="shared" ref="DO30:EQ30" si="51">+DO28+DO25</f>
        <v>0</v>
      </c>
      <c r="DP30" s="496">
        <f t="shared" si="51"/>
        <v>0</v>
      </c>
      <c r="DQ30" s="496">
        <f t="shared" si="51"/>
        <v>0</v>
      </c>
      <c r="DR30" s="496">
        <f t="shared" si="51"/>
        <v>0</v>
      </c>
      <c r="DS30" s="496">
        <f t="shared" si="51"/>
        <v>0</v>
      </c>
      <c r="DT30" s="496">
        <f t="shared" si="51"/>
        <v>0</v>
      </c>
      <c r="DU30" s="496">
        <f t="shared" si="51"/>
        <v>0</v>
      </c>
      <c r="DV30" s="496">
        <f t="shared" si="51"/>
        <v>0</v>
      </c>
      <c r="DW30" s="496">
        <f t="shared" si="51"/>
        <v>0</v>
      </c>
      <c r="DX30" s="496">
        <f t="shared" si="51"/>
        <v>0</v>
      </c>
      <c r="DY30" s="496">
        <f t="shared" si="51"/>
        <v>0</v>
      </c>
      <c r="DZ30" s="496">
        <f t="shared" si="51"/>
        <v>0</v>
      </c>
      <c r="EA30" s="496">
        <f t="shared" si="51"/>
        <v>0</v>
      </c>
      <c r="EB30" s="496">
        <f t="shared" si="51"/>
        <v>0</v>
      </c>
      <c r="EC30" s="496">
        <f t="shared" si="51"/>
        <v>0</v>
      </c>
      <c r="ED30" s="496">
        <f t="shared" si="51"/>
        <v>0</v>
      </c>
      <c r="EE30" s="496">
        <f t="shared" si="51"/>
        <v>0</v>
      </c>
      <c r="EF30" s="496">
        <f t="shared" si="51"/>
        <v>0</v>
      </c>
      <c r="EG30" s="496">
        <f t="shared" si="51"/>
        <v>0</v>
      </c>
      <c r="EH30" s="496">
        <f t="shared" si="51"/>
        <v>0</v>
      </c>
      <c r="EI30" s="496">
        <f t="shared" si="51"/>
        <v>0</v>
      </c>
      <c r="EJ30" s="496">
        <f t="shared" si="51"/>
        <v>0</v>
      </c>
      <c r="EK30" s="496">
        <f t="shared" si="51"/>
        <v>0</v>
      </c>
      <c r="EL30" s="496">
        <f t="shared" si="51"/>
        <v>0</v>
      </c>
      <c r="EM30" s="496">
        <f t="shared" si="51"/>
        <v>0</v>
      </c>
      <c r="EN30" s="496">
        <f t="shared" si="51"/>
        <v>0</v>
      </c>
      <c r="EO30" s="496">
        <f t="shared" si="51"/>
        <v>0</v>
      </c>
      <c r="EP30" s="496">
        <f t="shared" si="51"/>
        <v>0</v>
      </c>
      <c r="EQ30" s="496">
        <f t="shared" si="51"/>
        <v>0</v>
      </c>
      <c r="ER30" s="284">
        <f>IFERROR(DF30/DE30,0)</f>
        <v>0</v>
      </c>
      <c r="ES30" s="285">
        <f>+DK30/DJ30</f>
        <v>1</v>
      </c>
      <c r="ET30" s="286">
        <f>+DM30/DL30</f>
        <v>1</v>
      </c>
      <c r="EU30" s="286">
        <f>+(AA30+BE30+CI30+DK30)/(Z30+BD30+CH30+DJ30)</f>
        <v>1.0013899645688591</v>
      </c>
      <c r="EV30" s="287">
        <f>(BE30+AA30+CI30+DM30)/G30</f>
        <v>0.81899286780177794</v>
      </c>
      <c r="EW30" s="760"/>
      <c r="EX30" s="758"/>
      <c r="EY30" s="758"/>
      <c r="EZ30" s="811"/>
      <c r="FA30" s="806"/>
    </row>
    <row r="31" spans="1:157" s="232" customFormat="1" ht="28.7" customHeight="1" thickBot="1" x14ac:dyDescent="0.3">
      <c r="A31" s="729" t="s">
        <v>335</v>
      </c>
      <c r="B31" s="730"/>
      <c r="C31" s="730"/>
      <c r="D31" s="730"/>
      <c r="E31" s="730"/>
      <c r="F31" s="458" t="s">
        <v>43</v>
      </c>
      <c r="G31" s="315">
        <f>+G11+G18+G25</f>
        <v>18997587816</v>
      </c>
      <c r="H31" s="315">
        <f t="shared" ref="H31:BS31" si="52">+H11+H18+H25</f>
        <v>1709895000</v>
      </c>
      <c r="I31" s="315">
        <f t="shared" si="52"/>
        <v>1709895000</v>
      </c>
      <c r="J31" s="315">
        <f t="shared" si="52"/>
        <v>0</v>
      </c>
      <c r="K31" s="315">
        <f t="shared" si="52"/>
        <v>1709895000</v>
      </c>
      <c r="L31" s="315">
        <f t="shared" si="52"/>
        <v>1160000000</v>
      </c>
      <c r="M31" s="315">
        <f t="shared" si="52"/>
        <v>1709895000</v>
      </c>
      <c r="N31" s="315">
        <f t="shared" si="52"/>
        <v>641980000</v>
      </c>
      <c r="O31" s="315">
        <f t="shared" si="52"/>
        <v>1709895000</v>
      </c>
      <c r="P31" s="315">
        <f t="shared" si="52"/>
        <v>746119000</v>
      </c>
      <c r="Q31" s="315">
        <f t="shared" si="52"/>
        <v>1709895000</v>
      </c>
      <c r="R31" s="315">
        <f t="shared" si="52"/>
        <v>746119000</v>
      </c>
      <c r="S31" s="315">
        <f t="shared" si="52"/>
        <v>1709895000</v>
      </c>
      <c r="T31" s="315">
        <f t="shared" si="52"/>
        <v>746119000</v>
      </c>
      <c r="U31" s="315">
        <f t="shared" si="52"/>
        <v>1709895000</v>
      </c>
      <c r="V31" s="315">
        <f t="shared" si="52"/>
        <v>1673792107</v>
      </c>
      <c r="W31" s="315">
        <f t="shared" si="52"/>
        <v>1709895000</v>
      </c>
      <c r="X31" s="315">
        <f t="shared" si="52"/>
        <v>1709895000</v>
      </c>
      <c r="Y31" s="315">
        <f t="shared" si="52"/>
        <v>1673792107</v>
      </c>
      <c r="Z31" s="315">
        <f t="shared" si="52"/>
        <v>1673792107</v>
      </c>
      <c r="AA31" s="315">
        <f t="shared" si="52"/>
        <v>1673792107</v>
      </c>
      <c r="AB31" s="315">
        <f t="shared" si="52"/>
        <v>2746164000</v>
      </c>
      <c r="AC31" s="315">
        <f t="shared" si="52"/>
        <v>0</v>
      </c>
      <c r="AD31" s="315">
        <f t="shared" si="52"/>
        <v>0</v>
      </c>
      <c r="AE31" s="315">
        <f t="shared" si="52"/>
        <v>622617667</v>
      </c>
      <c r="AF31" s="315">
        <f t="shared" si="52"/>
        <v>622617667</v>
      </c>
      <c r="AG31" s="315">
        <f t="shared" si="52"/>
        <v>1244129000</v>
      </c>
      <c r="AH31" s="315">
        <f t="shared" si="52"/>
        <v>1244129000</v>
      </c>
      <c r="AI31" s="315">
        <f t="shared" si="52"/>
        <v>331896000</v>
      </c>
      <c r="AJ31" s="315">
        <f t="shared" si="52"/>
        <v>331896000</v>
      </c>
      <c r="AK31" s="315">
        <f t="shared" si="52"/>
        <v>143058800</v>
      </c>
      <c r="AL31" s="315">
        <f t="shared" si="52"/>
        <v>122302800</v>
      </c>
      <c r="AM31" s="315">
        <f t="shared" si="52"/>
        <v>80900333</v>
      </c>
      <c r="AN31" s="315">
        <f t="shared" si="52"/>
        <v>75268333</v>
      </c>
      <c r="AO31" s="315">
        <f t="shared" si="52"/>
        <v>128606000</v>
      </c>
      <c r="AP31" s="315">
        <f t="shared" si="52"/>
        <v>68255000</v>
      </c>
      <c r="AQ31" s="315">
        <f t="shared" si="52"/>
        <v>0</v>
      </c>
      <c r="AR31" s="315">
        <f t="shared" si="52"/>
        <v>8560000</v>
      </c>
      <c r="AS31" s="315">
        <f t="shared" si="52"/>
        <v>149532200</v>
      </c>
      <c r="AT31" s="315">
        <f t="shared" si="52"/>
        <v>78235834</v>
      </c>
      <c r="AU31" s="315">
        <f t="shared" si="52"/>
        <v>46500000</v>
      </c>
      <c r="AV31" s="315">
        <f t="shared" si="52"/>
        <v>58385333</v>
      </c>
      <c r="AW31" s="315">
        <f t="shared" si="52"/>
        <v>22424000</v>
      </c>
      <c r="AX31" s="315">
        <f t="shared" si="52"/>
        <v>108174069</v>
      </c>
      <c r="AY31" s="315">
        <f t="shared" si="52"/>
        <v>0</v>
      </c>
      <c r="AZ31" s="315">
        <f t="shared" si="52"/>
        <v>20677119</v>
      </c>
      <c r="BA31" s="315">
        <f t="shared" si="52"/>
        <v>2769664000</v>
      </c>
      <c r="BB31" s="315">
        <f t="shared" si="52"/>
        <v>2769664000</v>
      </c>
      <c r="BC31" s="315">
        <f t="shared" si="52"/>
        <v>2738501155</v>
      </c>
      <c r="BD31" s="315">
        <f t="shared" si="52"/>
        <v>2769664000</v>
      </c>
      <c r="BE31" s="315">
        <f t="shared" si="52"/>
        <v>2738501155</v>
      </c>
      <c r="BF31" s="315">
        <f t="shared" si="52"/>
        <v>4405188000</v>
      </c>
      <c r="BG31" s="315">
        <f t="shared" si="52"/>
        <v>3733369000</v>
      </c>
      <c r="BH31" s="315">
        <f t="shared" si="52"/>
        <v>3733369000</v>
      </c>
      <c r="BI31" s="315">
        <f t="shared" si="52"/>
        <v>0</v>
      </c>
      <c r="BJ31" s="315">
        <f t="shared" si="52"/>
        <v>0</v>
      </c>
      <c r="BK31" s="315">
        <f t="shared" si="52"/>
        <v>0</v>
      </c>
      <c r="BL31" s="315">
        <f t="shared" si="52"/>
        <v>0</v>
      </c>
      <c r="BM31" s="315">
        <f t="shared" si="52"/>
        <v>0</v>
      </c>
      <c r="BN31" s="315">
        <f t="shared" si="52"/>
        <v>0</v>
      </c>
      <c r="BO31" s="315">
        <f t="shared" si="52"/>
        <v>0</v>
      </c>
      <c r="BP31" s="315">
        <f t="shared" si="52"/>
        <v>0</v>
      </c>
      <c r="BQ31" s="315">
        <f t="shared" si="52"/>
        <v>0</v>
      </c>
      <c r="BR31" s="315">
        <f t="shared" si="52"/>
        <v>0</v>
      </c>
      <c r="BS31" s="315">
        <f t="shared" si="52"/>
        <v>0</v>
      </c>
      <c r="BT31" s="315">
        <f t="shared" ref="BT31:DN31" si="53">+BT11+BT18+BT25</f>
        <v>50780000</v>
      </c>
      <c r="BU31" s="315">
        <f t="shared" si="53"/>
        <v>0</v>
      </c>
      <c r="BV31" s="315">
        <f t="shared" si="53"/>
        <v>98308867</v>
      </c>
      <c r="BW31" s="315">
        <f t="shared" si="53"/>
        <v>80075702</v>
      </c>
      <c r="BX31" s="315">
        <f t="shared" si="53"/>
        <v>18706600</v>
      </c>
      <c r="BY31" s="315">
        <f t="shared" si="53"/>
        <v>0</v>
      </c>
      <c r="BZ31" s="315">
        <f t="shared" si="53"/>
        <v>308155067</v>
      </c>
      <c r="CA31" s="315">
        <f t="shared" si="53"/>
        <v>165112868</v>
      </c>
      <c r="CB31" s="315">
        <f t="shared" si="53"/>
        <v>155217900</v>
      </c>
      <c r="CC31" s="315">
        <f t="shared" si="53"/>
        <v>426630430</v>
      </c>
      <c r="CD31" s="315">
        <f t="shared" si="53"/>
        <v>36925400</v>
      </c>
      <c r="CE31" s="315">
        <f t="shared" si="53"/>
        <v>4405188000</v>
      </c>
      <c r="CF31" s="315">
        <f t="shared" si="53"/>
        <v>4405188000</v>
      </c>
      <c r="CG31" s="315">
        <f t="shared" si="53"/>
        <v>4401462834</v>
      </c>
      <c r="CH31" s="315">
        <f t="shared" si="53"/>
        <v>4405188000</v>
      </c>
      <c r="CI31" s="315">
        <f t="shared" si="53"/>
        <v>4401462834</v>
      </c>
      <c r="CJ31" s="315">
        <f t="shared" si="53"/>
        <v>4406096000</v>
      </c>
      <c r="CK31" s="315">
        <f t="shared" si="53"/>
        <v>1163116000</v>
      </c>
      <c r="CL31" s="315">
        <f t="shared" si="53"/>
        <v>1163116000</v>
      </c>
      <c r="CM31" s="315">
        <f t="shared" si="53"/>
        <v>2327329000</v>
      </c>
      <c r="CN31" s="315">
        <f t="shared" si="53"/>
        <v>2327329000</v>
      </c>
      <c r="CO31" s="315">
        <f t="shared" si="53"/>
        <v>767460000</v>
      </c>
      <c r="CP31" s="315">
        <f t="shared" si="53"/>
        <v>767460000</v>
      </c>
      <c r="CQ31" s="315">
        <f t="shared" si="53"/>
        <v>74674000</v>
      </c>
      <c r="CR31" s="315">
        <f t="shared" si="53"/>
        <v>0</v>
      </c>
      <c r="CS31" s="316">
        <f t="shared" si="53"/>
        <v>0</v>
      </c>
      <c r="CT31" s="316">
        <f t="shared" ref="CT31" si="54">+CT11+CT18+CT25</f>
        <v>0</v>
      </c>
      <c r="CU31" s="316">
        <f>+CU11+CU18+CU25</f>
        <v>0</v>
      </c>
      <c r="CV31" s="316">
        <f>+CV11+CV18+CV25</f>
        <v>0</v>
      </c>
      <c r="CW31" s="316">
        <f t="shared" si="53"/>
        <v>0</v>
      </c>
      <c r="CX31" s="316">
        <f>+CX11+CX18+CX25</f>
        <v>35260500</v>
      </c>
      <c r="CY31" s="443">
        <f t="shared" si="53"/>
        <v>0</v>
      </c>
      <c r="CZ31" s="443">
        <f>+CZ11+CZ18+CZ25</f>
        <v>60000000</v>
      </c>
      <c r="DA31" s="316">
        <f t="shared" si="53"/>
        <v>0</v>
      </c>
      <c r="DB31" s="316">
        <f t="shared" ref="DB31" si="55">+DB11+DB18+DB25</f>
        <v>0</v>
      </c>
      <c r="DC31" s="315">
        <f t="shared" si="53"/>
        <v>0</v>
      </c>
      <c r="DD31" s="315">
        <f t="shared" ref="DD31" si="56">+DD11+DD18+DD25</f>
        <v>5582665</v>
      </c>
      <c r="DE31" s="316">
        <f t="shared" si="53"/>
        <v>124180855</v>
      </c>
      <c r="DF31" s="316">
        <f t="shared" ref="DF31" si="57">+DF11+DF18+DF25</f>
        <v>54348033</v>
      </c>
      <c r="DG31" s="316">
        <f t="shared" si="53"/>
        <v>119978865</v>
      </c>
      <c r="DH31" s="316">
        <f t="shared" ref="DH31" si="58">+DH11+DH18+DH25</f>
        <v>163473167</v>
      </c>
      <c r="DI31" s="315">
        <f t="shared" si="53"/>
        <v>4576738720</v>
      </c>
      <c r="DJ31" s="315">
        <f t="shared" si="53"/>
        <v>4576738720</v>
      </c>
      <c r="DK31" s="315">
        <f t="shared" si="53"/>
        <v>4576569365</v>
      </c>
      <c r="DL31" s="315">
        <f>+DL11+DL18+DL25</f>
        <v>4576738720</v>
      </c>
      <c r="DM31" s="315">
        <f t="shared" si="53"/>
        <v>4576569365</v>
      </c>
      <c r="DN31" s="317">
        <f t="shared" si="53"/>
        <v>5607093000</v>
      </c>
      <c r="DO31" s="318">
        <f t="shared" ref="DO31:EE31" si="59">+DO11+DO18+DO25</f>
        <v>0</v>
      </c>
      <c r="DP31" s="318">
        <f t="shared" si="59"/>
        <v>0</v>
      </c>
      <c r="DQ31" s="318">
        <f t="shared" si="59"/>
        <v>0</v>
      </c>
      <c r="DR31" s="318">
        <f t="shared" si="59"/>
        <v>0</v>
      </c>
      <c r="DS31" s="318">
        <f t="shared" si="59"/>
        <v>0</v>
      </c>
      <c r="DT31" s="318">
        <f t="shared" si="59"/>
        <v>0</v>
      </c>
      <c r="DU31" s="318">
        <f t="shared" si="59"/>
        <v>0</v>
      </c>
      <c r="DV31" s="318">
        <f t="shared" si="59"/>
        <v>0</v>
      </c>
      <c r="DW31" s="318">
        <f t="shared" si="59"/>
        <v>0</v>
      </c>
      <c r="DX31" s="318">
        <f t="shared" si="59"/>
        <v>0</v>
      </c>
      <c r="DY31" s="318">
        <f t="shared" si="59"/>
        <v>0</v>
      </c>
      <c r="DZ31" s="318">
        <f t="shared" si="59"/>
        <v>0</v>
      </c>
      <c r="EA31" s="318">
        <f t="shared" si="59"/>
        <v>0</v>
      </c>
      <c r="EB31" s="318">
        <f t="shared" si="59"/>
        <v>0</v>
      </c>
      <c r="EC31" s="318">
        <f t="shared" si="59"/>
        <v>0</v>
      </c>
      <c r="ED31" s="318">
        <f t="shared" si="59"/>
        <v>0</v>
      </c>
      <c r="EE31" s="318">
        <f t="shared" si="59"/>
        <v>0</v>
      </c>
      <c r="EF31" s="318">
        <f t="shared" ref="EF31:EQ31" si="60">+EF11+EF18+EF25</f>
        <v>0</v>
      </c>
      <c r="EG31" s="318">
        <f t="shared" si="60"/>
        <v>0</v>
      </c>
      <c r="EH31" s="318">
        <f t="shared" si="60"/>
        <v>0</v>
      </c>
      <c r="EI31" s="318">
        <f t="shared" si="60"/>
        <v>0</v>
      </c>
      <c r="EJ31" s="318">
        <f t="shared" si="60"/>
        <v>0</v>
      </c>
      <c r="EK31" s="318">
        <f t="shared" si="60"/>
        <v>0</v>
      </c>
      <c r="EL31" s="318">
        <f t="shared" si="60"/>
        <v>0</v>
      </c>
      <c r="EM31" s="318">
        <f t="shared" si="60"/>
        <v>0</v>
      </c>
      <c r="EN31" s="318">
        <f t="shared" si="60"/>
        <v>0</v>
      </c>
      <c r="EO31" s="318">
        <f t="shared" si="60"/>
        <v>0</v>
      </c>
      <c r="EP31" s="318">
        <f t="shared" si="60"/>
        <v>0</v>
      </c>
      <c r="EQ31" s="318">
        <f t="shared" si="60"/>
        <v>0</v>
      </c>
      <c r="ER31" s="718"/>
      <c r="ES31" s="719"/>
      <c r="ET31" s="719"/>
      <c r="EU31" s="719"/>
      <c r="EV31" s="719"/>
      <c r="EW31" s="719"/>
      <c r="EX31" s="719"/>
      <c r="EY31" s="719"/>
      <c r="EZ31" s="719"/>
      <c r="FA31" s="720"/>
    </row>
    <row r="32" spans="1:157" s="232" customFormat="1" ht="28.7" customHeight="1" thickBot="1" x14ac:dyDescent="0.3">
      <c r="A32" s="731"/>
      <c r="B32" s="732"/>
      <c r="C32" s="732"/>
      <c r="D32" s="732"/>
      <c r="E32" s="732"/>
      <c r="F32" s="233" t="s">
        <v>45</v>
      </c>
      <c r="G32" s="315">
        <f>+G14+G21+G28</f>
        <v>1584872470</v>
      </c>
      <c r="H32" s="315">
        <f t="shared" ref="H32:BS32" si="61">+H14+H21+H28</f>
        <v>0</v>
      </c>
      <c r="I32" s="315">
        <f t="shared" si="61"/>
        <v>0</v>
      </c>
      <c r="J32" s="315">
        <f t="shared" si="61"/>
        <v>0</v>
      </c>
      <c r="K32" s="315">
        <f t="shared" si="61"/>
        <v>0</v>
      </c>
      <c r="L32" s="315">
        <f t="shared" si="61"/>
        <v>0</v>
      </c>
      <c r="M32" s="315">
        <f t="shared" si="61"/>
        <v>0</v>
      </c>
      <c r="N32" s="315">
        <f t="shared" si="61"/>
        <v>0</v>
      </c>
      <c r="O32" s="315">
        <f t="shared" si="61"/>
        <v>0</v>
      </c>
      <c r="P32" s="315">
        <f t="shared" si="61"/>
        <v>0</v>
      </c>
      <c r="Q32" s="315">
        <f t="shared" si="61"/>
        <v>0</v>
      </c>
      <c r="R32" s="315">
        <f t="shared" si="61"/>
        <v>0</v>
      </c>
      <c r="S32" s="315">
        <f t="shared" si="61"/>
        <v>0</v>
      </c>
      <c r="T32" s="315">
        <f t="shared" si="61"/>
        <v>0</v>
      </c>
      <c r="U32" s="315">
        <f t="shared" si="61"/>
        <v>0</v>
      </c>
      <c r="V32" s="315">
        <f t="shared" si="61"/>
        <v>0</v>
      </c>
      <c r="W32" s="315">
        <f t="shared" si="61"/>
        <v>0</v>
      </c>
      <c r="X32" s="315">
        <f t="shared" si="61"/>
        <v>0</v>
      </c>
      <c r="Y32" s="315">
        <f t="shared" si="61"/>
        <v>0</v>
      </c>
      <c r="Z32" s="315">
        <f t="shared" si="61"/>
        <v>0</v>
      </c>
      <c r="AA32" s="315">
        <f t="shared" si="61"/>
        <v>0</v>
      </c>
      <c r="AB32" s="315">
        <f t="shared" si="61"/>
        <v>962812374</v>
      </c>
      <c r="AC32" s="315">
        <f t="shared" si="61"/>
        <v>101304234</v>
      </c>
      <c r="AD32" s="315">
        <f t="shared" si="61"/>
        <v>101304234</v>
      </c>
      <c r="AE32" s="315">
        <f t="shared" si="61"/>
        <v>115879888</v>
      </c>
      <c r="AF32" s="315">
        <f t="shared" si="61"/>
        <v>115879888</v>
      </c>
      <c r="AG32" s="315">
        <f t="shared" si="61"/>
        <v>79409125</v>
      </c>
      <c r="AH32" s="315">
        <f t="shared" si="61"/>
        <v>79409125</v>
      </c>
      <c r="AI32" s="315">
        <f t="shared" si="61"/>
        <v>153921367</v>
      </c>
      <c r="AJ32" s="315">
        <f t="shared" si="61"/>
        <v>153921367</v>
      </c>
      <c r="AK32" s="315">
        <f t="shared" si="61"/>
        <v>7000000</v>
      </c>
      <c r="AL32" s="315">
        <f t="shared" si="61"/>
        <v>7000000</v>
      </c>
      <c r="AM32" s="315">
        <f t="shared" si="61"/>
        <v>211375760</v>
      </c>
      <c r="AN32" s="315">
        <f t="shared" si="61"/>
        <v>211375760</v>
      </c>
      <c r="AO32" s="315">
        <f t="shared" si="61"/>
        <v>12222000</v>
      </c>
      <c r="AP32" s="315">
        <f t="shared" si="61"/>
        <v>8000000</v>
      </c>
      <c r="AQ32" s="315">
        <f t="shared" si="61"/>
        <v>273700000</v>
      </c>
      <c r="AR32" s="315">
        <f t="shared" si="61"/>
        <v>201525000</v>
      </c>
      <c r="AS32" s="315">
        <f t="shared" si="61"/>
        <v>0</v>
      </c>
      <c r="AT32" s="315">
        <f t="shared" si="61"/>
        <v>0</v>
      </c>
      <c r="AU32" s="315">
        <f t="shared" si="61"/>
        <v>0</v>
      </c>
      <c r="AV32" s="315">
        <f t="shared" si="61"/>
        <v>76397000</v>
      </c>
      <c r="AW32" s="315">
        <f t="shared" si="61"/>
        <v>0</v>
      </c>
      <c r="AX32" s="315">
        <f t="shared" si="61"/>
        <v>0</v>
      </c>
      <c r="AY32" s="315">
        <f t="shared" si="61"/>
        <v>0</v>
      </c>
      <c r="AZ32" s="315">
        <f t="shared" si="61"/>
        <v>0</v>
      </c>
      <c r="BA32" s="315">
        <f t="shared" si="61"/>
        <v>954812374</v>
      </c>
      <c r="BB32" s="315">
        <f t="shared" si="61"/>
        <v>954812374</v>
      </c>
      <c r="BC32" s="315">
        <f t="shared" si="61"/>
        <v>954812374</v>
      </c>
      <c r="BD32" s="315">
        <f t="shared" si="61"/>
        <v>954812374</v>
      </c>
      <c r="BE32" s="315">
        <f t="shared" si="61"/>
        <v>954812374</v>
      </c>
      <c r="BF32" s="315">
        <f t="shared" si="61"/>
        <v>266762939</v>
      </c>
      <c r="BG32" s="315">
        <f t="shared" si="61"/>
        <v>172536292</v>
      </c>
      <c r="BH32" s="315">
        <f t="shared" si="61"/>
        <v>172536292</v>
      </c>
      <c r="BI32" s="315">
        <f t="shared" si="61"/>
        <v>33102600</v>
      </c>
      <c r="BJ32" s="315">
        <f t="shared" si="61"/>
        <v>32802600</v>
      </c>
      <c r="BK32" s="315">
        <f t="shared" si="61"/>
        <v>17599333</v>
      </c>
      <c r="BL32" s="315">
        <f t="shared" si="61"/>
        <v>32935867</v>
      </c>
      <c r="BM32" s="315">
        <f t="shared" si="61"/>
        <v>20159668</v>
      </c>
      <c r="BN32" s="315">
        <f t="shared" si="61"/>
        <v>16917998</v>
      </c>
      <c r="BO32" s="315">
        <f t="shared" si="61"/>
        <v>6451000</v>
      </c>
      <c r="BP32" s="315">
        <f t="shared" si="61"/>
        <v>3287648</v>
      </c>
      <c r="BQ32" s="315">
        <f t="shared" si="61"/>
        <v>5573866</v>
      </c>
      <c r="BR32" s="315">
        <f t="shared" si="61"/>
        <v>0</v>
      </c>
      <c r="BS32" s="315">
        <f t="shared" si="61"/>
        <v>4000000</v>
      </c>
      <c r="BT32" s="315">
        <f t="shared" ref="BT32:DN32" si="62">+BT14+BT21+BT28</f>
        <v>8282534</v>
      </c>
      <c r="BU32" s="315">
        <f t="shared" si="62"/>
        <v>4000000</v>
      </c>
      <c r="BV32" s="315">
        <f t="shared" si="62"/>
        <v>0</v>
      </c>
      <c r="BW32" s="315">
        <f t="shared" si="62"/>
        <v>3340180</v>
      </c>
      <c r="BX32" s="315">
        <f t="shared" si="62"/>
        <v>0</v>
      </c>
      <c r="BY32" s="315">
        <f t="shared" si="62"/>
        <v>0</v>
      </c>
      <c r="BZ32" s="315">
        <f t="shared" si="62"/>
        <v>0</v>
      </c>
      <c r="CA32" s="315">
        <f t="shared" si="62"/>
        <v>0</v>
      </c>
      <c r="CB32" s="315">
        <f t="shared" si="62"/>
        <v>0</v>
      </c>
      <c r="CC32" s="315">
        <f t="shared" si="62"/>
        <v>0</v>
      </c>
      <c r="CD32" s="315">
        <f t="shared" si="62"/>
        <v>0</v>
      </c>
      <c r="CE32" s="315">
        <f t="shared" si="62"/>
        <v>266762939</v>
      </c>
      <c r="CF32" s="315">
        <f t="shared" si="62"/>
        <v>266762939</v>
      </c>
      <c r="CG32" s="315">
        <f t="shared" si="62"/>
        <v>266762939</v>
      </c>
      <c r="CH32" s="315">
        <f t="shared" si="62"/>
        <v>266762939</v>
      </c>
      <c r="CI32" s="315">
        <f t="shared" si="62"/>
        <v>266762939</v>
      </c>
      <c r="CJ32" s="315">
        <f t="shared" si="62"/>
        <v>363297157</v>
      </c>
      <c r="CK32" s="315">
        <f t="shared" si="62"/>
        <v>88118836</v>
      </c>
      <c r="CL32" s="315">
        <f t="shared" si="62"/>
        <v>88118836</v>
      </c>
      <c r="CM32" s="315">
        <f t="shared" si="62"/>
        <v>135727710</v>
      </c>
      <c r="CN32" s="315">
        <f t="shared" si="62"/>
        <v>135727710</v>
      </c>
      <c r="CO32" s="315">
        <f t="shared" si="62"/>
        <v>38504933</v>
      </c>
      <c r="CP32" s="315">
        <f t="shared" si="62"/>
        <v>38504933</v>
      </c>
      <c r="CQ32" s="315">
        <f t="shared" si="62"/>
        <v>37127812</v>
      </c>
      <c r="CR32" s="315">
        <f t="shared" si="62"/>
        <v>28121979</v>
      </c>
      <c r="CS32" s="316">
        <f t="shared" si="62"/>
        <v>5746433</v>
      </c>
      <c r="CT32" s="316">
        <f t="shared" ref="CT32" si="63">+CT14+CT21+CT28</f>
        <v>8688066</v>
      </c>
      <c r="CU32" s="316">
        <f>+CU14+CU21+CU28</f>
        <v>0</v>
      </c>
      <c r="CV32" s="316">
        <f>+CV14+CV21+CV28</f>
        <v>5745000</v>
      </c>
      <c r="CW32" s="316">
        <f t="shared" si="62"/>
        <v>0</v>
      </c>
      <c r="CX32" s="316">
        <f>+CX14+CX21+CX28</f>
        <v>0</v>
      </c>
      <c r="CY32" s="443">
        <f t="shared" si="62"/>
        <v>58071433</v>
      </c>
      <c r="CZ32" s="443">
        <f>+CZ14+CZ21+CZ28</f>
        <v>6511000</v>
      </c>
      <c r="DA32" s="316">
        <f t="shared" si="62"/>
        <v>0</v>
      </c>
      <c r="DB32" s="316">
        <f t="shared" ref="DB32" si="64">+DB14+DB21+DB28</f>
        <v>0</v>
      </c>
      <c r="DC32" s="315">
        <f t="shared" si="62"/>
        <v>0</v>
      </c>
      <c r="DD32" s="315">
        <f t="shared" ref="DD32" si="65">+DD14+DD21+DD28</f>
        <v>0</v>
      </c>
      <c r="DE32" s="316">
        <f t="shared" si="62"/>
        <v>0</v>
      </c>
      <c r="DF32" s="316">
        <f t="shared" ref="DF32" si="66">+DF14+DF21+DF28</f>
        <v>0</v>
      </c>
      <c r="DG32" s="316">
        <f t="shared" si="62"/>
        <v>0</v>
      </c>
      <c r="DH32" s="316">
        <f t="shared" ref="DH32" si="67">+DH14+DH21+DH28</f>
        <v>0</v>
      </c>
      <c r="DI32" s="315">
        <f t="shared" si="62"/>
        <v>363297157</v>
      </c>
      <c r="DJ32" s="315">
        <f>+DJ14+DJ21+DJ28</f>
        <v>363297157</v>
      </c>
      <c r="DK32" s="315">
        <f t="shared" si="62"/>
        <v>311417524</v>
      </c>
      <c r="DL32" s="315">
        <f t="shared" si="62"/>
        <v>363297157</v>
      </c>
      <c r="DM32" s="315">
        <f t="shared" si="62"/>
        <v>311417524</v>
      </c>
      <c r="DN32" s="317">
        <f t="shared" si="62"/>
        <v>0</v>
      </c>
      <c r="DO32" s="318">
        <f t="shared" ref="DO32:EE32" si="68">+DO14+DO21+DO28</f>
        <v>0</v>
      </c>
      <c r="DP32" s="318">
        <f t="shared" si="68"/>
        <v>0</v>
      </c>
      <c r="DQ32" s="318">
        <f t="shared" si="68"/>
        <v>0</v>
      </c>
      <c r="DR32" s="318">
        <f t="shared" si="68"/>
        <v>0</v>
      </c>
      <c r="DS32" s="318">
        <f t="shared" si="68"/>
        <v>0</v>
      </c>
      <c r="DT32" s="318">
        <f t="shared" si="68"/>
        <v>0</v>
      </c>
      <c r="DU32" s="318">
        <f t="shared" si="68"/>
        <v>0</v>
      </c>
      <c r="DV32" s="318">
        <f t="shared" si="68"/>
        <v>0</v>
      </c>
      <c r="DW32" s="318">
        <f t="shared" si="68"/>
        <v>0</v>
      </c>
      <c r="DX32" s="318">
        <f t="shared" si="68"/>
        <v>0</v>
      </c>
      <c r="DY32" s="318">
        <f t="shared" si="68"/>
        <v>0</v>
      </c>
      <c r="DZ32" s="318">
        <f t="shared" si="68"/>
        <v>0</v>
      </c>
      <c r="EA32" s="318">
        <f t="shared" si="68"/>
        <v>0</v>
      </c>
      <c r="EB32" s="318">
        <f t="shared" si="68"/>
        <v>0</v>
      </c>
      <c r="EC32" s="318">
        <f t="shared" si="68"/>
        <v>0</v>
      </c>
      <c r="ED32" s="318">
        <f t="shared" si="68"/>
        <v>0</v>
      </c>
      <c r="EE32" s="318">
        <f t="shared" si="68"/>
        <v>0</v>
      </c>
      <c r="EF32" s="318">
        <f t="shared" ref="EF32:EQ32" si="69">+EF14+EF21+EF28</f>
        <v>0</v>
      </c>
      <c r="EG32" s="318">
        <f t="shared" si="69"/>
        <v>0</v>
      </c>
      <c r="EH32" s="318">
        <f t="shared" si="69"/>
        <v>0</v>
      </c>
      <c r="EI32" s="318">
        <f t="shared" si="69"/>
        <v>0</v>
      </c>
      <c r="EJ32" s="318">
        <f t="shared" si="69"/>
        <v>0</v>
      </c>
      <c r="EK32" s="318">
        <f t="shared" si="69"/>
        <v>0</v>
      </c>
      <c r="EL32" s="318">
        <f t="shared" si="69"/>
        <v>0</v>
      </c>
      <c r="EM32" s="318">
        <f t="shared" si="69"/>
        <v>0</v>
      </c>
      <c r="EN32" s="318">
        <f t="shared" si="69"/>
        <v>0</v>
      </c>
      <c r="EO32" s="318">
        <f t="shared" si="69"/>
        <v>0</v>
      </c>
      <c r="EP32" s="318">
        <f t="shared" si="69"/>
        <v>0</v>
      </c>
      <c r="EQ32" s="318">
        <f t="shared" si="69"/>
        <v>0</v>
      </c>
      <c r="ER32" s="721"/>
      <c r="ES32" s="722"/>
      <c r="ET32" s="722"/>
      <c r="EU32" s="722"/>
      <c r="EV32" s="722"/>
      <c r="EW32" s="722"/>
      <c r="EX32" s="722"/>
      <c r="EY32" s="722"/>
      <c r="EZ32" s="722"/>
      <c r="FA32" s="723"/>
    </row>
    <row r="33" spans="1:157" s="221" customFormat="1" ht="36.75" customHeight="1" thickBot="1" x14ac:dyDescent="0.25">
      <c r="A33" s="733"/>
      <c r="B33" s="734"/>
      <c r="C33" s="734"/>
      <c r="D33" s="734"/>
      <c r="E33" s="734"/>
      <c r="F33" s="222" t="s">
        <v>46</v>
      </c>
      <c r="G33" s="319">
        <f>+G31+G32</f>
        <v>20582460286</v>
      </c>
      <c r="H33" s="319">
        <f t="shared" ref="H33:BS33" si="70">+H31+H32</f>
        <v>1709895000</v>
      </c>
      <c r="I33" s="319">
        <f t="shared" si="70"/>
        <v>1709895000</v>
      </c>
      <c r="J33" s="319">
        <f t="shared" si="70"/>
        <v>0</v>
      </c>
      <c r="K33" s="319">
        <f t="shared" si="70"/>
        <v>1709895000</v>
      </c>
      <c r="L33" s="319">
        <f t="shared" si="70"/>
        <v>1160000000</v>
      </c>
      <c r="M33" s="319">
        <f t="shared" si="70"/>
        <v>1709895000</v>
      </c>
      <c r="N33" s="319">
        <f t="shared" si="70"/>
        <v>641980000</v>
      </c>
      <c r="O33" s="319">
        <f t="shared" si="70"/>
        <v>1709895000</v>
      </c>
      <c r="P33" s="319">
        <f t="shared" si="70"/>
        <v>746119000</v>
      </c>
      <c r="Q33" s="319">
        <f t="shared" si="70"/>
        <v>1709895000</v>
      </c>
      <c r="R33" s="319">
        <f t="shared" si="70"/>
        <v>746119000</v>
      </c>
      <c r="S33" s="319">
        <f t="shared" si="70"/>
        <v>1709895000</v>
      </c>
      <c r="T33" s="319">
        <f t="shared" si="70"/>
        <v>746119000</v>
      </c>
      <c r="U33" s="319">
        <f t="shared" si="70"/>
        <v>1709895000</v>
      </c>
      <c r="V33" s="319">
        <f t="shared" si="70"/>
        <v>1673792107</v>
      </c>
      <c r="W33" s="319">
        <f t="shared" si="70"/>
        <v>1709895000</v>
      </c>
      <c r="X33" s="319">
        <f t="shared" si="70"/>
        <v>1709895000</v>
      </c>
      <c r="Y33" s="319">
        <f t="shared" si="70"/>
        <v>1673792107</v>
      </c>
      <c r="Z33" s="319">
        <f t="shared" si="70"/>
        <v>1673792107</v>
      </c>
      <c r="AA33" s="319">
        <f t="shared" si="70"/>
        <v>1673792107</v>
      </c>
      <c r="AB33" s="319">
        <f t="shared" si="70"/>
        <v>3708976374</v>
      </c>
      <c r="AC33" s="319">
        <f t="shared" si="70"/>
        <v>101304234</v>
      </c>
      <c r="AD33" s="319">
        <f t="shared" si="70"/>
        <v>101304234</v>
      </c>
      <c r="AE33" s="319">
        <f t="shared" si="70"/>
        <v>738497555</v>
      </c>
      <c r="AF33" s="319">
        <f t="shared" si="70"/>
        <v>738497555</v>
      </c>
      <c r="AG33" s="319">
        <f t="shared" si="70"/>
        <v>1323538125</v>
      </c>
      <c r="AH33" s="319">
        <f t="shared" si="70"/>
        <v>1323538125</v>
      </c>
      <c r="AI33" s="319">
        <f t="shared" si="70"/>
        <v>485817367</v>
      </c>
      <c r="AJ33" s="319">
        <f t="shared" si="70"/>
        <v>485817367</v>
      </c>
      <c r="AK33" s="319">
        <f t="shared" si="70"/>
        <v>150058800</v>
      </c>
      <c r="AL33" s="319">
        <f t="shared" si="70"/>
        <v>129302800</v>
      </c>
      <c r="AM33" s="319">
        <f t="shared" si="70"/>
        <v>292276093</v>
      </c>
      <c r="AN33" s="319">
        <f t="shared" si="70"/>
        <v>286644093</v>
      </c>
      <c r="AO33" s="319">
        <f t="shared" si="70"/>
        <v>140828000</v>
      </c>
      <c r="AP33" s="319">
        <f t="shared" si="70"/>
        <v>76255000</v>
      </c>
      <c r="AQ33" s="319">
        <f t="shared" si="70"/>
        <v>273700000</v>
      </c>
      <c r="AR33" s="319">
        <f t="shared" si="70"/>
        <v>210085000</v>
      </c>
      <c r="AS33" s="319">
        <f t="shared" si="70"/>
        <v>149532200</v>
      </c>
      <c r="AT33" s="319">
        <f t="shared" si="70"/>
        <v>78235834</v>
      </c>
      <c r="AU33" s="319">
        <f t="shared" si="70"/>
        <v>46500000</v>
      </c>
      <c r="AV33" s="319">
        <f t="shared" si="70"/>
        <v>134782333</v>
      </c>
      <c r="AW33" s="319">
        <f t="shared" si="70"/>
        <v>22424000</v>
      </c>
      <c r="AX33" s="319">
        <f t="shared" si="70"/>
        <v>108174069</v>
      </c>
      <c r="AY33" s="319">
        <f t="shared" si="70"/>
        <v>0</v>
      </c>
      <c r="AZ33" s="319">
        <f t="shared" si="70"/>
        <v>20677119</v>
      </c>
      <c r="BA33" s="319">
        <f t="shared" si="70"/>
        <v>3724476374</v>
      </c>
      <c r="BB33" s="319">
        <f t="shared" si="70"/>
        <v>3724476374</v>
      </c>
      <c r="BC33" s="319">
        <f t="shared" si="70"/>
        <v>3693313529</v>
      </c>
      <c r="BD33" s="319">
        <f t="shared" si="70"/>
        <v>3724476374</v>
      </c>
      <c r="BE33" s="319">
        <f t="shared" si="70"/>
        <v>3693313529</v>
      </c>
      <c r="BF33" s="319">
        <f t="shared" si="70"/>
        <v>4671950939</v>
      </c>
      <c r="BG33" s="319">
        <f t="shared" si="70"/>
        <v>3905905292</v>
      </c>
      <c r="BH33" s="319">
        <f t="shared" si="70"/>
        <v>3905905292</v>
      </c>
      <c r="BI33" s="319">
        <f t="shared" si="70"/>
        <v>33102600</v>
      </c>
      <c r="BJ33" s="319">
        <f t="shared" si="70"/>
        <v>32802600</v>
      </c>
      <c r="BK33" s="319">
        <f t="shared" si="70"/>
        <v>17599333</v>
      </c>
      <c r="BL33" s="319">
        <f t="shared" si="70"/>
        <v>32935867</v>
      </c>
      <c r="BM33" s="319">
        <f t="shared" si="70"/>
        <v>20159668</v>
      </c>
      <c r="BN33" s="319">
        <f t="shared" si="70"/>
        <v>16917998</v>
      </c>
      <c r="BO33" s="319">
        <f t="shared" si="70"/>
        <v>6451000</v>
      </c>
      <c r="BP33" s="319">
        <f t="shared" si="70"/>
        <v>3287648</v>
      </c>
      <c r="BQ33" s="319">
        <f t="shared" si="70"/>
        <v>5573866</v>
      </c>
      <c r="BR33" s="319">
        <f t="shared" si="70"/>
        <v>0</v>
      </c>
      <c r="BS33" s="319">
        <f t="shared" si="70"/>
        <v>4000000</v>
      </c>
      <c r="BT33" s="319">
        <f t="shared" ref="BT33:DN33" si="71">+BT31+BT32</f>
        <v>59062534</v>
      </c>
      <c r="BU33" s="319">
        <f t="shared" si="71"/>
        <v>4000000</v>
      </c>
      <c r="BV33" s="319">
        <f t="shared" si="71"/>
        <v>98308867</v>
      </c>
      <c r="BW33" s="319">
        <f t="shared" si="71"/>
        <v>83415882</v>
      </c>
      <c r="BX33" s="319">
        <f t="shared" si="71"/>
        <v>18706600</v>
      </c>
      <c r="BY33" s="319">
        <f t="shared" si="71"/>
        <v>0</v>
      </c>
      <c r="BZ33" s="319">
        <f t="shared" si="71"/>
        <v>308155067</v>
      </c>
      <c r="CA33" s="319">
        <f t="shared" si="71"/>
        <v>165112868</v>
      </c>
      <c r="CB33" s="319">
        <f t="shared" si="71"/>
        <v>155217900</v>
      </c>
      <c r="CC33" s="319">
        <f t="shared" si="71"/>
        <v>426630430</v>
      </c>
      <c r="CD33" s="319">
        <f t="shared" si="71"/>
        <v>36925400</v>
      </c>
      <c r="CE33" s="319">
        <f t="shared" si="71"/>
        <v>4671950939</v>
      </c>
      <c r="CF33" s="319">
        <f t="shared" si="71"/>
        <v>4671950939</v>
      </c>
      <c r="CG33" s="319">
        <f t="shared" si="71"/>
        <v>4668225773</v>
      </c>
      <c r="CH33" s="319">
        <f t="shared" si="71"/>
        <v>4671950939</v>
      </c>
      <c r="CI33" s="319">
        <f t="shared" si="71"/>
        <v>4668225773</v>
      </c>
      <c r="CJ33" s="319">
        <f t="shared" si="71"/>
        <v>4769393157</v>
      </c>
      <c r="CK33" s="319">
        <f t="shared" si="71"/>
        <v>1251234836</v>
      </c>
      <c r="CL33" s="319">
        <f t="shared" si="71"/>
        <v>1251234836</v>
      </c>
      <c r="CM33" s="319">
        <f t="shared" si="71"/>
        <v>2463056710</v>
      </c>
      <c r="CN33" s="319">
        <f t="shared" si="71"/>
        <v>2463056710</v>
      </c>
      <c r="CO33" s="319">
        <f t="shared" si="71"/>
        <v>805964933</v>
      </c>
      <c r="CP33" s="319">
        <f t="shared" si="71"/>
        <v>805964933</v>
      </c>
      <c r="CQ33" s="319">
        <f t="shared" si="71"/>
        <v>111801812</v>
      </c>
      <c r="CR33" s="319">
        <f t="shared" si="71"/>
        <v>28121979</v>
      </c>
      <c r="CS33" s="320">
        <f>+CS31+CS32</f>
        <v>5746433</v>
      </c>
      <c r="CT33" s="320">
        <f>+CT31+CT32</f>
        <v>8688066</v>
      </c>
      <c r="CU33" s="320">
        <f t="shared" si="71"/>
        <v>0</v>
      </c>
      <c r="CV33" s="320">
        <f t="shared" ref="CV33:CX33" si="72">+CV31+CV32</f>
        <v>5745000</v>
      </c>
      <c r="CW33" s="320">
        <f t="shared" si="71"/>
        <v>0</v>
      </c>
      <c r="CX33" s="320">
        <f t="shared" si="72"/>
        <v>35260500</v>
      </c>
      <c r="CY33" s="444">
        <f t="shared" si="71"/>
        <v>58071433</v>
      </c>
      <c r="CZ33" s="444">
        <f t="shared" si="71"/>
        <v>66511000</v>
      </c>
      <c r="DA33" s="320">
        <f t="shared" si="71"/>
        <v>0</v>
      </c>
      <c r="DB33" s="320">
        <f t="shared" ref="DB33" si="73">+DB31+DB32</f>
        <v>0</v>
      </c>
      <c r="DC33" s="319">
        <f t="shared" si="71"/>
        <v>0</v>
      </c>
      <c r="DD33" s="319">
        <f t="shared" ref="DD33" si="74">+DD31+DD32</f>
        <v>5582665</v>
      </c>
      <c r="DE33" s="320">
        <f t="shared" si="71"/>
        <v>124180855</v>
      </c>
      <c r="DF33" s="320">
        <f t="shared" ref="DF33" si="75">+DF31+DF32</f>
        <v>54348033</v>
      </c>
      <c r="DG33" s="320">
        <f t="shared" si="71"/>
        <v>119978865</v>
      </c>
      <c r="DH33" s="320">
        <f t="shared" ref="DH33" si="76">+DH31+DH32</f>
        <v>163473167</v>
      </c>
      <c r="DI33" s="319">
        <f t="shared" si="71"/>
        <v>4940035877</v>
      </c>
      <c r="DJ33" s="319">
        <f t="shared" si="71"/>
        <v>4940035877</v>
      </c>
      <c r="DK33" s="319">
        <f t="shared" si="71"/>
        <v>4887986889</v>
      </c>
      <c r="DL33" s="319">
        <f t="shared" si="71"/>
        <v>4940035877</v>
      </c>
      <c r="DM33" s="319">
        <f t="shared" si="71"/>
        <v>4887986889</v>
      </c>
      <c r="DN33" s="321">
        <f t="shared" si="71"/>
        <v>5607093000</v>
      </c>
      <c r="DO33" s="459">
        <f t="shared" ref="DO33:EE33" si="77">+DO31+DO32</f>
        <v>0</v>
      </c>
      <c r="DP33" s="459">
        <f t="shared" si="77"/>
        <v>0</v>
      </c>
      <c r="DQ33" s="459">
        <f t="shared" si="77"/>
        <v>0</v>
      </c>
      <c r="DR33" s="459">
        <f t="shared" si="77"/>
        <v>0</v>
      </c>
      <c r="DS33" s="459">
        <f t="shared" si="77"/>
        <v>0</v>
      </c>
      <c r="DT33" s="459">
        <f t="shared" si="77"/>
        <v>0</v>
      </c>
      <c r="DU33" s="459">
        <f t="shared" si="77"/>
        <v>0</v>
      </c>
      <c r="DV33" s="459">
        <f t="shared" si="77"/>
        <v>0</v>
      </c>
      <c r="DW33" s="459">
        <f t="shared" si="77"/>
        <v>0</v>
      </c>
      <c r="DX33" s="459">
        <f t="shared" si="77"/>
        <v>0</v>
      </c>
      <c r="DY33" s="459">
        <f t="shared" si="77"/>
        <v>0</v>
      </c>
      <c r="DZ33" s="459">
        <f t="shared" si="77"/>
        <v>0</v>
      </c>
      <c r="EA33" s="459">
        <f t="shared" si="77"/>
        <v>0</v>
      </c>
      <c r="EB33" s="459">
        <f t="shared" si="77"/>
        <v>0</v>
      </c>
      <c r="EC33" s="459">
        <f t="shared" si="77"/>
        <v>0</v>
      </c>
      <c r="ED33" s="459">
        <f t="shared" si="77"/>
        <v>0</v>
      </c>
      <c r="EE33" s="459">
        <f t="shared" si="77"/>
        <v>0</v>
      </c>
      <c r="EF33" s="459">
        <f t="shared" ref="EF33:EQ33" si="78">+EF31+EF32</f>
        <v>0</v>
      </c>
      <c r="EG33" s="459">
        <f t="shared" si="78"/>
        <v>0</v>
      </c>
      <c r="EH33" s="459">
        <f t="shared" si="78"/>
        <v>0</v>
      </c>
      <c r="EI33" s="459">
        <f t="shared" si="78"/>
        <v>0</v>
      </c>
      <c r="EJ33" s="459">
        <f t="shared" si="78"/>
        <v>0</v>
      </c>
      <c r="EK33" s="459">
        <f t="shared" si="78"/>
        <v>0</v>
      </c>
      <c r="EL33" s="459">
        <f t="shared" si="78"/>
        <v>0</v>
      </c>
      <c r="EM33" s="459">
        <f t="shared" si="78"/>
        <v>0</v>
      </c>
      <c r="EN33" s="459">
        <f t="shared" si="78"/>
        <v>0</v>
      </c>
      <c r="EO33" s="459">
        <f t="shared" si="78"/>
        <v>0</v>
      </c>
      <c r="EP33" s="459">
        <f t="shared" si="78"/>
        <v>0</v>
      </c>
      <c r="EQ33" s="459">
        <f t="shared" si="78"/>
        <v>0</v>
      </c>
      <c r="ER33" s="724"/>
      <c r="ES33" s="725"/>
      <c r="ET33" s="725"/>
      <c r="EU33" s="725"/>
      <c r="EV33" s="725"/>
      <c r="EW33" s="725"/>
      <c r="EX33" s="725"/>
      <c r="EY33" s="725"/>
      <c r="EZ33" s="725"/>
      <c r="FA33" s="726"/>
    </row>
    <row r="34" spans="1:157" ht="28.7" customHeight="1" x14ac:dyDescent="0.25">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194"/>
      <c r="CK34" s="194"/>
      <c r="CL34" s="194"/>
      <c r="CM34" s="194"/>
      <c r="CN34" s="194"/>
      <c r="CO34" s="194"/>
      <c r="CP34" s="194"/>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row>
    <row r="35" spans="1:157" ht="28.7" customHeight="1" x14ac:dyDescent="0.25">
      <c r="AH35" s="45"/>
      <c r="AI35" s="45"/>
      <c r="AJ35" s="45"/>
      <c r="AK35" s="45"/>
      <c r="AL35" s="45"/>
      <c r="AM35" s="45"/>
      <c r="AN35" s="45"/>
      <c r="AO35" s="45"/>
      <c r="AP35" s="45"/>
      <c r="AQ35" s="45"/>
      <c r="AR35" s="45"/>
      <c r="AS35" s="45"/>
      <c r="AT35" s="45"/>
      <c r="AU35" s="45"/>
      <c r="AV35" s="45"/>
      <c r="AW35" s="45"/>
      <c r="AX35" s="45"/>
      <c r="BF35" s="47"/>
      <c r="CF35" s="45"/>
      <c r="CG35" s="180"/>
      <c r="CI35" s="181"/>
      <c r="CJ35" s="195"/>
      <c r="CK35" s="195"/>
      <c r="CL35" s="195"/>
      <c r="CM35" s="195"/>
      <c r="CN35" s="195"/>
      <c r="CO35" s="195"/>
      <c r="CP35" s="195"/>
      <c r="CQ35" s="48"/>
      <c r="CR35" s="48"/>
      <c r="CS35" s="48"/>
      <c r="CT35" s="48"/>
      <c r="CU35" s="48"/>
      <c r="CV35" s="48"/>
      <c r="CW35" s="48"/>
      <c r="CX35" s="48"/>
      <c r="CY35" s="48"/>
      <c r="CZ35" s="48"/>
      <c r="DA35" s="48"/>
      <c r="DB35" s="48"/>
      <c r="DC35" s="48"/>
      <c r="DD35" s="48"/>
      <c r="DE35" s="48"/>
      <c r="DF35" s="48"/>
      <c r="DG35" s="48"/>
      <c r="DH35" s="48"/>
    </row>
    <row r="36" spans="1:157" ht="28.7" customHeight="1" x14ac:dyDescent="0.25">
      <c r="A36" s="18" t="s">
        <v>34</v>
      </c>
      <c r="B36" s="16"/>
      <c r="C36" s="16"/>
      <c r="D36" s="16"/>
      <c r="E36" s="17"/>
      <c r="F36" s="177"/>
      <c r="G36" s="17"/>
      <c r="H36" s="17"/>
      <c r="I36" s="17"/>
      <c r="J36" s="17"/>
      <c r="K36" s="17"/>
      <c r="L36" s="17"/>
      <c r="M36" s="17"/>
      <c r="N36" s="17"/>
      <c r="O36" s="17"/>
      <c r="P36" s="17"/>
      <c r="Q36" s="17"/>
      <c r="R36" s="17"/>
      <c r="S36" s="17"/>
      <c r="T36" s="17"/>
      <c r="U36" s="17"/>
      <c r="V36" s="17"/>
      <c r="W36" s="17"/>
      <c r="X36" s="17"/>
      <c r="Y36" s="17"/>
      <c r="Z36" s="17"/>
      <c r="AA36" s="17"/>
      <c r="AB36" s="17"/>
      <c r="AC36" s="17"/>
      <c r="AD36" s="113"/>
      <c r="AE36" s="16"/>
      <c r="AF36" s="16"/>
      <c r="AG36" s="16"/>
      <c r="AH36" s="16"/>
      <c r="AI36" s="16"/>
      <c r="AJ36" s="19"/>
      <c r="AK36" s="19"/>
      <c r="AL36" s="19"/>
      <c r="AM36" s="19"/>
      <c r="AN36" s="19"/>
      <c r="AO36" s="19"/>
      <c r="AP36" s="19"/>
      <c r="AQ36" s="25"/>
      <c r="AR36" s="25"/>
      <c r="AS36" s="20"/>
      <c r="AT36" s="20"/>
      <c r="AU36" s="20"/>
      <c r="AV36" s="20"/>
      <c r="AW36" s="20"/>
      <c r="AX36" s="20"/>
      <c r="AY36" s="20"/>
      <c r="AZ36"/>
      <c r="BA36"/>
      <c r="BB36"/>
      <c r="BC36"/>
      <c r="BD36"/>
      <c r="BE36"/>
      <c r="BF36"/>
      <c r="BG36"/>
      <c r="BH36"/>
      <c r="BI36"/>
      <c r="BJ36"/>
      <c r="BK36"/>
      <c r="BL36"/>
      <c r="BM36"/>
      <c r="BN36"/>
      <c r="BO36"/>
      <c r="BP36"/>
      <c r="BQ36"/>
      <c r="BR36"/>
      <c r="BS36"/>
      <c r="BT36"/>
      <c r="BU36"/>
      <c r="BV36"/>
      <c r="BW36"/>
      <c r="BX36"/>
      <c r="BY36"/>
      <c r="BZ36"/>
      <c r="CA36"/>
      <c r="CB36"/>
      <c r="CC36"/>
      <c r="CD36"/>
      <c r="CE36"/>
      <c r="CF36"/>
      <c r="CG36" s="182"/>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57" ht="28.7" customHeight="1" x14ac:dyDescent="0.25">
      <c r="A37" s="228" t="s">
        <v>35</v>
      </c>
      <c r="B37" s="710" t="s">
        <v>36</v>
      </c>
      <c r="C37" s="711"/>
      <c r="D37" s="711"/>
      <c r="E37" s="711"/>
      <c r="F37" s="711"/>
      <c r="G37" s="711"/>
      <c r="H37" s="712"/>
      <c r="I37" s="713" t="s">
        <v>37</v>
      </c>
      <c r="J37" s="714"/>
      <c r="K37" s="714"/>
      <c r="L37" s="714"/>
      <c r="M37" s="714"/>
      <c r="N37" s="714"/>
      <c r="O37" s="715"/>
    </row>
    <row r="38" spans="1:157" ht="28.7" customHeight="1" x14ac:dyDescent="0.25">
      <c r="A38" s="229">
        <v>13</v>
      </c>
      <c r="B38" s="716" t="s">
        <v>89</v>
      </c>
      <c r="C38" s="716"/>
      <c r="D38" s="716"/>
      <c r="E38" s="716"/>
      <c r="F38" s="716"/>
      <c r="G38" s="716"/>
      <c r="H38" s="716"/>
      <c r="I38" s="716" t="s">
        <v>80</v>
      </c>
      <c r="J38" s="716"/>
      <c r="K38" s="716"/>
      <c r="L38" s="716"/>
      <c r="M38" s="716"/>
      <c r="N38" s="716"/>
      <c r="O38" s="716"/>
      <c r="BF38" s="45"/>
      <c r="CJ38" s="197"/>
      <c r="CK38" s="197"/>
      <c r="CL38" s="197"/>
      <c r="CM38" s="197"/>
      <c r="CN38" s="197"/>
      <c r="CO38" s="197"/>
      <c r="CP38" s="197"/>
      <c r="CQ38" s="45"/>
      <c r="CR38" s="45"/>
      <c r="CS38" s="45"/>
      <c r="CT38" s="45"/>
      <c r="CU38" s="45"/>
      <c r="CV38" s="45"/>
      <c r="CW38" s="45"/>
      <c r="CX38" s="45"/>
      <c r="CY38" s="45"/>
      <c r="CZ38" s="45"/>
      <c r="DA38" s="45"/>
      <c r="DB38" s="45"/>
      <c r="DC38" s="45"/>
      <c r="DD38" s="45"/>
      <c r="DE38" s="45"/>
      <c r="DF38" s="45"/>
      <c r="DG38" s="45"/>
      <c r="DH38" s="45"/>
    </row>
    <row r="39" spans="1:157" ht="28.7" customHeight="1" x14ac:dyDescent="0.25">
      <c r="A39" s="229">
        <v>14</v>
      </c>
      <c r="B39" s="716" t="s">
        <v>258</v>
      </c>
      <c r="C39" s="716"/>
      <c r="D39" s="716"/>
      <c r="E39" s="716"/>
      <c r="F39" s="716"/>
      <c r="G39" s="716"/>
      <c r="H39" s="716"/>
      <c r="I39" s="717" t="s">
        <v>333</v>
      </c>
      <c r="J39" s="717"/>
      <c r="K39" s="717"/>
      <c r="L39" s="717"/>
      <c r="M39" s="717"/>
      <c r="N39" s="717"/>
      <c r="O39" s="717"/>
    </row>
  </sheetData>
  <sheetProtection formatCells="0" formatColumns="0" formatRows="0" insertHyperlinks="0" sort="0" autoFilter="0" pivotTables="0"/>
  <mergeCells count="62">
    <mergeCell ref="B37:H37"/>
    <mergeCell ref="I37:O37"/>
    <mergeCell ref="B38:H38"/>
    <mergeCell ref="I38:O38"/>
    <mergeCell ref="B39:H39"/>
    <mergeCell ref="I39:O39"/>
    <mergeCell ref="FA24:FA30"/>
    <mergeCell ref="EZ10:EZ16"/>
    <mergeCell ref="EW17:EW23"/>
    <mergeCell ref="EW10:EW16"/>
    <mergeCell ref="EY10:EY16"/>
    <mergeCell ref="FA17:FA23"/>
    <mergeCell ref="FA10:FA16"/>
    <mergeCell ref="EX10:EX16"/>
    <mergeCell ref="EZ24:EZ30"/>
    <mergeCell ref="EY17:EY23"/>
    <mergeCell ref="EY24:EY30"/>
    <mergeCell ref="EZ17:EZ23"/>
    <mergeCell ref="EX17:EX23"/>
    <mergeCell ref="D10:D16"/>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ER31:FA33"/>
    <mergeCell ref="E10:E16"/>
    <mergeCell ref="D17:D23"/>
    <mergeCell ref="A31:E33"/>
    <mergeCell ref="B17:B23"/>
    <mergeCell ref="C17:C23"/>
    <mergeCell ref="A10:A30"/>
    <mergeCell ref="C24:C30"/>
    <mergeCell ref="B24:B30"/>
    <mergeCell ref="B10:B16"/>
    <mergeCell ref="C10:C16"/>
    <mergeCell ref="D24:D30"/>
    <mergeCell ref="E24:E30"/>
    <mergeCell ref="E17:E23"/>
    <mergeCell ref="EX24:EX30"/>
    <mergeCell ref="EW24:EW30"/>
  </mergeCells>
  <dataValidations count="1">
    <dataValidation type="textLength" operator="lessThan" allowBlank="1" showInputMessage="1" showErrorMessage="1" sqref="EW10:FA30" xr:uid="{00000000-0002-0000-0100-000000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DI15 DI29 CP22 DD30 DJ14" formula="1"/>
    <ignoredError sqref="DE15:DE16 DF16 DF22 DF29:DF33 DE29:DE33"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4"/>
  <sheetViews>
    <sheetView zoomScale="86" zoomScaleNormal="86" zoomScalePageLayoutView="75" workbookViewId="0">
      <selection activeCell="M10" sqref="M10"/>
    </sheetView>
  </sheetViews>
  <sheetFormatPr baseColWidth="10" defaultColWidth="10.85546875" defaultRowHeight="22.35" customHeight="1" x14ac:dyDescent="0.25"/>
  <cols>
    <col min="1" max="1" width="10" style="223" customWidth="1"/>
    <col min="2" max="2" width="16.28515625" style="223" customWidth="1"/>
    <col min="3" max="3" width="25.85546875" style="231" customWidth="1"/>
    <col min="4" max="4" width="7.42578125" style="223" customWidth="1"/>
    <col min="5" max="5" width="8.42578125" style="223" customWidth="1"/>
    <col min="6" max="6" width="6.85546875" style="223" customWidth="1"/>
    <col min="7" max="12" width="7.7109375" style="223" customWidth="1"/>
    <col min="13" max="13" width="8.42578125" style="223" customWidth="1"/>
    <col min="14" max="18" width="6.5703125" style="230" customWidth="1"/>
    <col min="19" max="19" width="10.28515625" style="230" customWidth="1"/>
    <col min="20" max="20" width="10.7109375" style="230" customWidth="1"/>
    <col min="21" max="21" width="11.28515625" style="230" customWidth="1"/>
    <col min="22" max="22" width="49.85546875" style="227" customWidth="1"/>
    <col min="23" max="16384" width="10.85546875" style="223"/>
  </cols>
  <sheetData>
    <row r="1" spans="1:22" ht="22.35" customHeight="1" x14ac:dyDescent="0.25">
      <c r="A1" s="852"/>
      <c r="B1" s="853"/>
      <c r="C1" s="853"/>
      <c r="D1" s="858" t="s">
        <v>38</v>
      </c>
      <c r="E1" s="859"/>
      <c r="F1" s="859"/>
      <c r="G1" s="859"/>
      <c r="H1" s="859"/>
      <c r="I1" s="859"/>
      <c r="J1" s="859"/>
      <c r="K1" s="859"/>
      <c r="L1" s="859"/>
      <c r="M1" s="859"/>
      <c r="N1" s="859"/>
      <c r="O1" s="859"/>
      <c r="P1" s="859"/>
      <c r="Q1" s="859"/>
      <c r="R1" s="859"/>
      <c r="S1" s="859"/>
      <c r="T1" s="859"/>
      <c r="U1" s="859"/>
      <c r="V1" s="860"/>
    </row>
    <row r="2" spans="1:22" ht="22.35" customHeight="1" x14ac:dyDescent="0.25">
      <c r="A2" s="854"/>
      <c r="B2" s="855"/>
      <c r="C2" s="855"/>
      <c r="D2" s="803" t="s">
        <v>257</v>
      </c>
      <c r="E2" s="795"/>
      <c r="F2" s="795"/>
      <c r="G2" s="795"/>
      <c r="H2" s="795"/>
      <c r="I2" s="795"/>
      <c r="J2" s="795"/>
      <c r="K2" s="795"/>
      <c r="L2" s="795"/>
      <c r="M2" s="795"/>
      <c r="N2" s="795"/>
      <c r="O2" s="795"/>
      <c r="P2" s="795"/>
      <c r="Q2" s="795"/>
      <c r="R2" s="795"/>
      <c r="S2" s="795"/>
      <c r="T2" s="795"/>
      <c r="U2" s="795"/>
      <c r="V2" s="703"/>
    </row>
    <row r="3" spans="1:22" ht="22.35" customHeight="1" thickBot="1" x14ac:dyDescent="0.3">
      <c r="A3" s="856"/>
      <c r="B3" s="857"/>
      <c r="C3" s="857"/>
      <c r="D3" s="873" t="s">
        <v>39</v>
      </c>
      <c r="E3" s="874"/>
      <c r="F3" s="874"/>
      <c r="G3" s="874"/>
      <c r="H3" s="874"/>
      <c r="I3" s="874"/>
      <c r="J3" s="874"/>
      <c r="K3" s="874"/>
      <c r="L3" s="874"/>
      <c r="M3" s="874"/>
      <c r="N3" s="874"/>
      <c r="O3" s="874"/>
      <c r="P3" s="874"/>
      <c r="Q3" s="874"/>
      <c r="R3" s="874"/>
      <c r="S3" s="874"/>
      <c r="T3" s="874"/>
      <c r="U3" s="875"/>
      <c r="V3" s="257" t="s">
        <v>460</v>
      </c>
    </row>
    <row r="4" spans="1:22" ht="22.35" customHeight="1" thickBot="1" x14ac:dyDescent="0.3">
      <c r="A4" s="870" t="s">
        <v>0</v>
      </c>
      <c r="B4" s="871"/>
      <c r="C4" s="872"/>
      <c r="D4" s="864" t="s">
        <v>299</v>
      </c>
      <c r="E4" s="865"/>
      <c r="F4" s="865"/>
      <c r="G4" s="865"/>
      <c r="H4" s="865"/>
      <c r="I4" s="865"/>
      <c r="J4" s="865"/>
      <c r="K4" s="865"/>
      <c r="L4" s="865"/>
      <c r="M4" s="865"/>
      <c r="N4" s="865"/>
      <c r="O4" s="865"/>
      <c r="P4" s="865"/>
      <c r="Q4" s="865"/>
      <c r="R4" s="865"/>
      <c r="S4" s="865"/>
      <c r="T4" s="865"/>
      <c r="U4" s="865"/>
      <c r="V4" s="866"/>
    </row>
    <row r="5" spans="1:22" ht="22.35" customHeight="1" thickBot="1" x14ac:dyDescent="0.3">
      <c r="A5" s="861" t="s">
        <v>2</v>
      </c>
      <c r="B5" s="862"/>
      <c r="C5" s="863"/>
      <c r="D5" s="867" t="s">
        <v>331</v>
      </c>
      <c r="E5" s="868"/>
      <c r="F5" s="868"/>
      <c r="G5" s="868"/>
      <c r="H5" s="868"/>
      <c r="I5" s="868"/>
      <c r="J5" s="868"/>
      <c r="K5" s="868"/>
      <c r="L5" s="868"/>
      <c r="M5" s="868"/>
      <c r="N5" s="868"/>
      <c r="O5" s="868"/>
      <c r="P5" s="868"/>
      <c r="Q5" s="868"/>
      <c r="R5" s="868"/>
      <c r="S5" s="868"/>
      <c r="T5" s="868"/>
      <c r="U5" s="868"/>
      <c r="V5" s="869"/>
    </row>
    <row r="6" spans="1:22" ht="22.35" customHeight="1" thickBot="1" x14ac:dyDescent="0.3">
      <c r="A6" s="831"/>
      <c r="B6" s="832"/>
      <c r="C6" s="832"/>
      <c r="D6" s="832"/>
      <c r="E6" s="832"/>
      <c r="F6" s="832"/>
      <c r="G6" s="832"/>
      <c r="H6" s="832"/>
      <c r="I6" s="832"/>
      <c r="J6" s="832"/>
      <c r="K6" s="832"/>
      <c r="L6" s="832"/>
      <c r="M6" s="832"/>
      <c r="N6" s="832"/>
      <c r="O6" s="832"/>
      <c r="P6" s="832"/>
      <c r="Q6" s="832"/>
      <c r="R6" s="832"/>
      <c r="S6" s="832"/>
      <c r="T6" s="832"/>
      <c r="U6" s="832"/>
      <c r="V6" s="833"/>
    </row>
    <row r="7" spans="1:22" s="251" customFormat="1" ht="36" customHeight="1" x14ac:dyDescent="0.25">
      <c r="A7" s="843" t="s">
        <v>22</v>
      </c>
      <c r="B7" s="834" t="s">
        <v>23</v>
      </c>
      <c r="C7" s="836" t="s">
        <v>67</v>
      </c>
      <c r="D7" s="838" t="s">
        <v>24</v>
      </c>
      <c r="E7" s="839"/>
      <c r="F7" s="840" t="s">
        <v>454</v>
      </c>
      <c r="G7" s="840"/>
      <c r="H7" s="840"/>
      <c r="I7" s="840"/>
      <c r="J7" s="840"/>
      <c r="K7" s="840"/>
      <c r="L7" s="840"/>
      <c r="M7" s="840"/>
      <c r="N7" s="840"/>
      <c r="O7" s="840"/>
      <c r="P7" s="840"/>
      <c r="Q7" s="840"/>
      <c r="R7" s="840"/>
      <c r="S7" s="840"/>
      <c r="T7" s="834" t="s">
        <v>28</v>
      </c>
      <c r="U7" s="834"/>
      <c r="V7" s="841" t="s">
        <v>520</v>
      </c>
    </row>
    <row r="8" spans="1:22" s="251" customFormat="1" ht="59.25" customHeight="1" thickBot="1" x14ac:dyDescent="0.3">
      <c r="A8" s="844"/>
      <c r="B8" s="835"/>
      <c r="C8" s="837"/>
      <c r="D8" s="252" t="s">
        <v>25</v>
      </c>
      <c r="E8" s="252" t="s">
        <v>26</v>
      </c>
      <c r="F8" s="252" t="s">
        <v>27</v>
      </c>
      <c r="G8" s="253" t="s">
        <v>5</v>
      </c>
      <c r="H8" s="253" t="s">
        <v>6</v>
      </c>
      <c r="I8" s="253" t="s">
        <v>7</v>
      </c>
      <c r="J8" s="253" t="s">
        <v>8</v>
      </c>
      <c r="K8" s="253" t="s">
        <v>9</v>
      </c>
      <c r="L8" s="253" t="s">
        <v>10</v>
      </c>
      <c r="M8" s="253" t="s">
        <v>11</v>
      </c>
      <c r="N8" s="253" t="s">
        <v>12</v>
      </c>
      <c r="O8" s="253" t="s">
        <v>13</v>
      </c>
      <c r="P8" s="253" t="s">
        <v>14</v>
      </c>
      <c r="Q8" s="253" t="s">
        <v>15</v>
      </c>
      <c r="R8" s="253" t="s">
        <v>16</v>
      </c>
      <c r="S8" s="254" t="s">
        <v>17</v>
      </c>
      <c r="T8" s="254" t="s">
        <v>29</v>
      </c>
      <c r="U8" s="254" t="s">
        <v>30</v>
      </c>
      <c r="V8" s="842"/>
    </row>
    <row r="9" spans="1:22" ht="45" customHeight="1" x14ac:dyDescent="0.25">
      <c r="A9" s="816" t="s">
        <v>293</v>
      </c>
      <c r="B9" s="816" t="s">
        <v>290</v>
      </c>
      <c r="C9" s="826" t="s">
        <v>442</v>
      </c>
      <c r="D9" s="822" t="s">
        <v>298</v>
      </c>
      <c r="E9" s="817"/>
      <c r="F9" s="249" t="s">
        <v>18</v>
      </c>
      <c r="G9" s="586">
        <v>0</v>
      </c>
      <c r="H9" s="587">
        <v>1.2699999999999999E-2</v>
      </c>
      <c r="I9" s="586">
        <v>4.4999999999999998E-2</v>
      </c>
      <c r="J9" s="586">
        <v>9.7000000000000003E-2</v>
      </c>
      <c r="K9" s="588">
        <v>0.115</v>
      </c>
      <c r="L9" s="588">
        <v>0.115</v>
      </c>
      <c r="M9" s="588">
        <v>0.115</v>
      </c>
      <c r="N9" s="586">
        <v>0.115</v>
      </c>
      <c r="O9" s="586">
        <v>0.115</v>
      </c>
      <c r="P9" s="586">
        <v>0.115</v>
      </c>
      <c r="Q9" s="586">
        <v>0.1</v>
      </c>
      <c r="R9" s="587">
        <v>5.5300000000000002E-2</v>
      </c>
      <c r="S9" s="450">
        <f t="shared" ref="S9:S16" si="0">SUM(G9:R9)</f>
        <v>1</v>
      </c>
      <c r="T9" s="848">
        <f>+U9+U13+U11</f>
        <v>0.60000000000000009</v>
      </c>
      <c r="U9" s="846">
        <v>0.37</v>
      </c>
      <c r="V9" s="850" t="s">
        <v>533</v>
      </c>
    </row>
    <row r="10" spans="1:22" ht="55.5" customHeight="1" x14ac:dyDescent="0.25">
      <c r="A10" s="816"/>
      <c r="B10" s="816"/>
      <c r="C10" s="826"/>
      <c r="D10" s="822"/>
      <c r="E10" s="817"/>
      <c r="F10" s="250" t="s">
        <v>19</v>
      </c>
      <c r="G10" s="586">
        <v>0</v>
      </c>
      <c r="H10" s="587">
        <v>1.2699999999999999E-2</v>
      </c>
      <c r="I10" s="587">
        <v>4.4999999999999998E-2</v>
      </c>
      <c r="J10" s="587">
        <v>0.15310000000000001</v>
      </c>
      <c r="K10" s="589">
        <v>0.1283</v>
      </c>
      <c r="L10" s="590">
        <v>0.128</v>
      </c>
      <c r="M10" s="588">
        <v>0.115</v>
      </c>
      <c r="N10" s="591">
        <v>4.9599999999999998E-2</v>
      </c>
      <c r="O10" s="591">
        <v>9.4399999999999998E-2</v>
      </c>
      <c r="P10" s="588">
        <v>9.7000000000000003E-2</v>
      </c>
      <c r="Q10" s="591">
        <v>0.1124</v>
      </c>
      <c r="R10" s="591">
        <v>4.4499999999999998E-2</v>
      </c>
      <c r="S10" s="451">
        <f t="shared" si="0"/>
        <v>0.98</v>
      </c>
      <c r="T10" s="848"/>
      <c r="U10" s="847"/>
      <c r="V10" s="850"/>
    </row>
    <row r="11" spans="1:22" ht="39" customHeight="1" x14ac:dyDescent="0.25">
      <c r="A11" s="816"/>
      <c r="B11" s="816"/>
      <c r="C11" s="820" t="s">
        <v>434</v>
      </c>
      <c r="D11" s="812"/>
      <c r="E11" s="818" t="s">
        <v>435</v>
      </c>
      <c r="F11" s="249" t="s">
        <v>18</v>
      </c>
      <c r="G11" s="586">
        <v>0.17</v>
      </c>
      <c r="H11" s="587">
        <v>0.23279999999999998</v>
      </c>
      <c r="I11" s="586">
        <v>0.40699999999999997</v>
      </c>
      <c r="J11" s="586">
        <v>0.18</v>
      </c>
      <c r="K11" s="590">
        <v>1.0200000000000001E-2</v>
      </c>
      <c r="L11" s="588">
        <v>0</v>
      </c>
      <c r="M11" s="588">
        <v>0</v>
      </c>
      <c r="N11" s="586">
        <v>0</v>
      </c>
      <c r="O11" s="586">
        <v>0</v>
      </c>
      <c r="P11" s="586">
        <v>0</v>
      </c>
      <c r="Q11" s="586">
        <v>0</v>
      </c>
      <c r="R11" s="586">
        <v>0</v>
      </c>
      <c r="S11" s="450">
        <f t="shared" si="0"/>
        <v>1</v>
      </c>
      <c r="T11" s="848"/>
      <c r="U11" s="846">
        <v>0.03</v>
      </c>
      <c r="V11" s="845" t="s">
        <v>510</v>
      </c>
    </row>
    <row r="12" spans="1:22" ht="39" customHeight="1" x14ac:dyDescent="0.25">
      <c r="A12" s="816"/>
      <c r="B12" s="816"/>
      <c r="C12" s="821"/>
      <c r="D12" s="813"/>
      <c r="E12" s="819"/>
      <c r="F12" s="250" t="s">
        <v>19</v>
      </c>
      <c r="G12" s="587">
        <v>0.17</v>
      </c>
      <c r="H12" s="587">
        <v>0.23279999999999998</v>
      </c>
      <c r="I12" s="587">
        <v>0.40699999999999997</v>
      </c>
      <c r="J12" s="587">
        <v>0.18</v>
      </c>
      <c r="K12" s="589">
        <v>6.1999999999999998E-3</v>
      </c>
      <c r="L12" s="590">
        <v>4.0000000000000001E-3</v>
      </c>
      <c r="M12" s="588">
        <v>0</v>
      </c>
      <c r="N12" s="592">
        <v>0</v>
      </c>
      <c r="O12" s="592">
        <v>0</v>
      </c>
      <c r="P12" s="588">
        <v>0</v>
      </c>
      <c r="Q12" s="592">
        <v>0</v>
      </c>
      <c r="R12" s="592">
        <v>0</v>
      </c>
      <c r="S12" s="452">
        <f t="shared" si="0"/>
        <v>1</v>
      </c>
      <c r="T12" s="848"/>
      <c r="U12" s="847"/>
      <c r="V12" s="845"/>
    </row>
    <row r="13" spans="1:22" ht="67.5" customHeight="1" x14ac:dyDescent="0.25">
      <c r="A13" s="816"/>
      <c r="B13" s="816"/>
      <c r="C13" s="826" t="s">
        <v>433</v>
      </c>
      <c r="D13" s="822" t="s">
        <v>298</v>
      </c>
      <c r="E13" s="817"/>
      <c r="F13" s="249" t="s">
        <v>18</v>
      </c>
      <c r="G13" s="586">
        <v>0.04</v>
      </c>
      <c r="H13" s="586">
        <v>0.09</v>
      </c>
      <c r="I13" s="586">
        <v>0.09</v>
      </c>
      <c r="J13" s="586">
        <v>0.09</v>
      </c>
      <c r="K13" s="588">
        <v>0.09</v>
      </c>
      <c r="L13" s="588">
        <v>0.09</v>
      </c>
      <c r="M13" s="588">
        <v>0.09</v>
      </c>
      <c r="N13" s="586">
        <v>0.09</v>
      </c>
      <c r="O13" s="586">
        <v>0.09</v>
      </c>
      <c r="P13" s="586">
        <v>0.09</v>
      </c>
      <c r="Q13" s="586">
        <v>0.09</v>
      </c>
      <c r="R13" s="586">
        <v>0.06</v>
      </c>
      <c r="S13" s="450">
        <f t="shared" si="0"/>
        <v>0.99999999999999978</v>
      </c>
      <c r="T13" s="848"/>
      <c r="U13" s="849">
        <v>0.2</v>
      </c>
      <c r="V13" s="851" t="s">
        <v>528</v>
      </c>
    </row>
    <row r="14" spans="1:22" ht="37.5" customHeight="1" x14ac:dyDescent="0.25">
      <c r="A14" s="816"/>
      <c r="B14" s="816"/>
      <c r="C14" s="826"/>
      <c r="D14" s="822"/>
      <c r="E14" s="817"/>
      <c r="F14" s="250" t="s">
        <v>19</v>
      </c>
      <c r="G14" s="586">
        <v>0.04</v>
      </c>
      <c r="H14" s="586">
        <v>0.09</v>
      </c>
      <c r="I14" s="586">
        <v>0.09</v>
      </c>
      <c r="J14" s="586">
        <v>0.09</v>
      </c>
      <c r="K14" s="593">
        <v>0.09</v>
      </c>
      <c r="L14" s="588">
        <v>0.09</v>
      </c>
      <c r="M14" s="588">
        <v>0.09</v>
      </c>
      <c r="N14" s="592">
        <v>0.09</v>
      </c>
      <c r="O14" s="592">
        <v>0.09</v>
      </c>
      <c r="P14" s="588">
        <v>0.09</v>
      </c>
      <c r="Q14" s="592">
        <v>0.09</v>
      </c>
      <c r="R14" s="592">
        <v>0.06</v>
      </c>
      <c r="S14" s="453">
        <f t="shared" si="0"/>
        <v>0.99999999999999978</v>
      </c>
      <c r="T14" s="847"/>
      <c r="U14" s="849"/>
      <c r="V14" s="845"/>
    </row>
    <row r="15" spans="1:22" ht="34.5" customHeight="1" x14ac:dyDescent="0.25">
      <c r="A15" s="816"/>
      <c r="B15" s="816" t="s">
        <v>291</v>
      </c>
      <c r="C15" s="826" t="s">
        <v>438</v>
      </c>
      <c r="D15" s="822" t="s">
        <v>298</v>
      </c>
      <c r="E15" s="817"/>
      <c r="F15" s="249" t="s">
        <v>18</v>
      </c>
      <c r="G15" s="586">
        <v>0</v>
      </c>
      <c r="H15" s="586">
        <v>0.1</v>
      </c>
      <c r="I15" s="586">
        <v>0.09</v>
      </c>
      <c r="J15" s="586">
        <v>0.09</v>
      </c>
      <c r="K15" s="588">
        <v>0.09</v>
      </c>
      <c r="L15" s="588">
        <v>0.09</v>
      </c>
      <c r="M15" s="588">
        <v>0.09</v>
      </c>
      <c r="N15" s="586">
        <v>0.09</v>
      </c>
      <c r="O15" s="586">
        <v>0.09</v>
      </c>
      <c r="P15" s="586">
        <v>0.09</v>
      </c>
      <c r="Q15" s="586">
        <v>0.09</v>
      </c>
      <c r="R15" s="586">
        <v>0.09</v>
      </c>
      <c r="S15" s="450">
        <f t="shared" si="0"/>
        <v>0.99999999999999978</v>
      </c>
      <c r="T15" s="846">
        <v>0.2</v>
      </c>
      <c r="U15" s="846">
        <v>0.06</v>
      </c>
      <c r="V15" s="850" t="s">
        <v>527</v>
      </c>
    </row>
    <row r="16" spans="1:22" ht="51.75" customHeight="1" x14ac:dyDescent="0.25">
      <c r="A16" s="816"/>
      <c r="B16" s="816"/>
      <c r="C16" s="826"/>
      <c r="D16" s="822"/>
      <c r="E16" s="817"/>
      <c r="F16" s="250" t="s">
        <v>19</v>
      </c>
      <c r="G16" s="586">
        <v>0</v>
      </c>
      <c r="H16" s="586">
        <v>0.1</v>
      </c>
      <c r="I16" s="586">
        <v>0.09</v>
      </c>
      <c r="J16" s="586">
        <v>0.09</v>
      </c>
      <c r="K16" s="593">
        <v>0.09</v>
      </c>
      <c r="L16" s="588">
        <v>0.09</v>
      </c>
      <c r="M16" s="588">
        <v>0.09</v>
      </c>
      <c r="N16" s="592">
        <v>0.09</v>
      </c>
      <c r="O16" s="592">
        <v>0.09</v>
      </c>
      <c r="P16" s="588">
        <v>0.09</v>
      </c>
      <c r="Q16" s="592">
        <v>0.09</v>
      </c>
      <c r="R16" s="594">
        <v>0.09</v>
      </c>
      <c r="S16" s="453">
        <f t="shared" si="0"/>
        <v>0.99999999999999978</v>
      </c>
      <c r="T16" s="848"/>
      <c r="U16" s="848"/>
      <c r="V16" s="850"/>
    </row>
    <row r="17" spans="1:22" ht="22.35" customHeight="1" x14ac:dyDescent="0.25">
      <c r="A17" s="816"/>
      <c r="B17" s="816"/>
      <c r="C17" s="820" t="s">
        <v>443</v>
      </c>
      <c r="D17" s="812" t="s">
        <v>298</v>
      </c>
      <c r="E17" s="818"/>
      <c r="F17" s="249" t="s">
        <v>18</v>
      </c>
      <c r="G17" s="586">
        <v>0</v>
      </c>
      <c r="H17" s="595">
        <v>0</v>
      </c>
      <c r="I17" s="595">
        <v>0</v>
      </c>
      <c r="J17" s="595">
        <v>0.1</v>
      </c>
      <c r="K17" s="596">
        <v>0.11</v>
      </c>
      <c r="L17" s="596">
        <v>0.11</v>
      </c>
      <c r="M17" s="596">
        <v>0.11</v>
      </c>
      <c r="N17" s="595">
        <v>0.11</v>
      </c>
      <c r="O17" s="595">
        <v>0.11</v>
      </c>
      <c r="P17" s="595">
        <v>0.11</v>
      </c>
      <c r="Q17" s="595">
        <v>0.11</v>
      </c>
      <c r="R17" s="595">
        <v>0.13</v>
      </c>
      <c r="S17" s="450">
        <f t="shared" ref="S17:S24" si="1">SUM(G17:R17)</f>
        <v>1</v>
      </c>
      <c r="T17" s="848"/>
      <c r="U17" s="849">
        <v>7.0000000000000007E-2</v>
      </c>
      <c r="V17" s="850" t="s">
        <v>525</v>
      </c>
    </row>
    <row r="18" spans="1:22" ht="54" customHeight="1" x14ac:dyDescent="0.25">
      <c r="A18" s="816"/>
      <c r="B18" s="816"/>
      <c r="C18" s="821"/>
      <c r="D18" s="813"/>
      <c r="E18" s="819"/>
      <c r="F18" s="250" t="s">
        <v>19</v>
      </c>
      <c r="G18" s="586">
        <v>0</v>
      </c>
      <c r="H18" s="595">
        <v>0</v>
      </c>
      <c r="I18" s="595">
        <v>0</v>
      </c>
      <c r="J18" s="595">
        <v>0.1</v>
      </c>
      <c r="K18" s="597">
        <v>0.11</v>
      </c>
      <c r="L18" s="596">
        <v>0.11</v>
      </c>
      <c r="M18" s="596">
        <v>0.11</v>
      </c>
      <c r="N18" s="594">
        <v>0.11</v>
      </c>
      <c r="O18" s="594">
        <v>0.11</v>
      </c>
      <c r="P18" s="596">
        <v>0.09</v>
      </c>
      <c r="Q18" s="594">
        <v>0.13</v>
      </c>
      <c r="R18" s="594">
        <v>0.13</v>
      </c>
      <c r="S18" s="453">
        <f t="shared" si="1"/>
        <v>1</v>
      </c>
      <c r="T18" s="848"/>
      <c r="U18" s="849"/>
      <c r="V18" s="850"/>
    </row>
    <row r="19" spans="1:22" ht="39" customHeight="1" x14ac:dyDescent="0.25">
      <c r="A19" s="816"/>
      <c r="B19" s="816"/>
      <c r="C19" s="820" t="s">
        <v>445</v>
      </c>
      <c r="D19" s="812" t="s">
        <v>298</v>
      </c>
      <c r="E19" s="818"/>
      <c r="F19" s="249" t="s">
        <v>18</v>
      </c>
      <c r="G19" s="586">
        <v>0</v>
      </c>
      <c r="H19" s="595">
        <v>0.02</v>
      </c>
      <c r="I19" s="595">
        <v>0.02</v>
      </c>
      <c r="J19" s="595">
        <v>0.1</v>
      </c>
      <c r="K19" s="596">
        <v>0.1</v>
      </c>
      <c r="L19" s="596">
        <v>0.12</v>
      </c>
      <c r="M19" s="596">
        <v>0.12</v>
      </c>
      <c r="N19" s="595">
        <v>0.12</v>
      </c>
      <c r="O19" s="595">
        <v>0.12</v>
      </c>
      <c r="P19" s="595">
        <v>0.12</v>
      </c>
      <c r="Q19" s="595">
        <v>0.12</v>
      </c>
      <c r="R19" s="595">
        <v>0.04</v>
      </c>
      <c r="S19" s="450">
        <f t="shared" si="1"/>
        <v>1</v>
      </c>
      <c r="T19" s="848"/>
      <c r="U19" s="848">
        <v>7.0000000000000007E-2</v>
      </c>
      <c r="V19" s="876" t="s">
        <v>526</v>
      </c>
    </row>
    <row r="20" spans="1:22" ht="63.75" customHeight="1" x14ac:dyDescent="0.25">
      <c r="A20" s="816"/>
      <c r="B20" s="816"/>
      <c r="C20" s="821"/>
      <c r="D20" s="813"/>
      <c r="E20" s="819"/>
      <c r="F20" s="250" t="s">
        <v>19</v>
      </c>
      <c r="G20" s="598">
        <v>0</v>
      </c>
      <c r="H20" s="586">
        <v>0.02</v>
      </c>
      <c r="I20" s="586">
        <v>0.02</v>
      </c>
      <c r="J20" s="586">
        <v>0.1</v>
      </c>
      <c r="K20" s="593">
        <v>0.1</v>
      </c>
      <c r="L20" s="588">
        <v>0.12</v>
      </c>
      <c r="M20" s="588">
        <v>0.12</v>
      </c>
      <c r="N20" s="592">
        <v>0.12</v>
      </c>
      <c r="O20" s="592">
        <v>0.12</v>
      </c>
      <c r="P20" s="588">
        <v>0.12</v>
      </c>
      <c r="Q20" s="592">
        <v>0.12</v>
      </c>
      <c r="R20" s="599">
        <v>0.04</v>
      </c>
      <c r="S20" s="453">
        <f t="shared" si="1"/>
        <v>1</v>
      </c>
      <c r="T20" s="847"/>
      <c r="U20" s="847"/>
      <c r="V20" s="876"/>
    </row>
    <row r="21" spans="1:22" ht="39" customHeight="1" x14ac:dyDescent="0.25">
      <c r="A21" s="816"/>
      <c r="B21" s="816" t="s">
        <v>292</v>
      </c>
      <c r="C21" s="826" t="s">
        <v>439</v>
      </c>
      <c r="D21" s="827" t="s">
        <v>298</v>
      </c>
      <c r="E21" s="814"/>
      <c r="F21" s="249" t="s">
        <v>18</v>
      </c>
      <c r="G21" s="586">
        <v>0</v>
      </c>
      <c r="H21" s="586">
        <v>0.2</v>
      </c>
      <c r="I21" s="586">
        <v>0.2</v>
      </c>
      <c r="J21" s="586">
        <v>0.3</v>
      </c>
      <c r="K21" s="588">
        <v>0.3</v>
      </c>
      <c r="L21" s="588">
        <v>0</v>
      </c>
      <c r="M21" s="588">
        <v>0</v>
      </c>
      <c r="N21" s="592">
        <v>0</v>
      </c>
      <c r="O21" s="592">
        <v>0</v>
      </c>
      <c r="P21" s="592">
        <v>0</v>
      </c>
      <c r="Q21" s="592">
        <v>0</v>
      </c>
      <c r="R21" s="592">
        <v>0</v>
      </c>
      <c r="S21" s="450">
        <f t="shared" si="1"/>
        <v>1</v>
      </c>
      <c r="T21" s="846">
        <v>0.2</v>
      </c>
      <c r="U21" s="846">
        <v>0.1</v>
      </c>
      <c r="V21" s="877" t="s">
        <v>488</v>
      </c>
    </row>
    <row r="22" spans="1:22" ht="36.75" customHeight="1" x14ac:dyDescent="0.25">
      <c r="A22" s="816"/>
      <c r="B22" s="816"/>
      <c r="C22" s="826"/>
      <c r="D22" s="828"/>
      <c r="E22" s="829"/>
      <c r="F22" s="250" t="s">
        <v>19</v>
      </c>
      <c r="G22" s="586">
        <v>0</v>
      </c>
      <c r="H22" s="595">
        <v>0.2</v>
      </c>
      <c r="I22" s="586">
        <v>0.2</v>
      </c>
      <c r="J22" s="586">
        <v>0.3</v>
      </c>
      <c r="K22" s="593">
        <v>0.3</v>
      </c>
      <c r="L22" s="588">
        <v>0</v>
      </c>
      <c r="M22" s="588">
        <v>0</v>
      </c>
      <c r="N22" s="592">
        <v>0</v>
      </c>
      <c r="O22" s="592">
        <v>0</v>
      </c>
      <c r="P22" s="588">
        <v>0</v>
      </c>
      <c r="Q22" s="592">
        <v>0</v>
      </c>
      <c r="R22" s="592">
        <v>0</v>
      </c>
      <c r="S22" s="453">
        <f t="shared" si="1"/>
        <v>1</v>
      </c>
      <c r="T22" s="848"/>
      <c r="U22" s="848"/>
      <c r="V22" s="878"/>
    </row>
    <row r="23" spans="1:22" ht="35.25" customHeight="1" x14ac:dyDescent="0.25">
      <c r="A23" s="816"/>
      <c r="B23" s="816"/>
      <c r="C23" s="826" t="s">
        <v>444</v>
      </c>
      <c r="D23" s="827" t="s">
        <v>298</v>
      </c>
      <c r="E23" s="814"/>
      <c r="F23" s="249" t="s">
        <v>18</v>
      </c>
      <c r="G23" s="586">
        <v>0</v>
      </c>
      <c r="H23" s="586">
        <v>0</v>
      </c>
      <c r="I23" s="586">
        <v>0.09</v>
      </c>
      <c r="J23" s="586">
        <v>0.09</v>
      </c>
      <c r="K23" s="588">
        <v>0.09</v>
      </c>
      <c r="L23" s="588">
        <v>0.09</v>
      </c>
      <c r="M23" s="588">
        <v>0.09</v>
      </c>
      <c r="N23" s="586">
        <v>0.09</v>
      </c>
      <c r="O23" s="586">
        <v>0.12</v>
      </c>
      <c r="P23" s="586">
        <v>0.12</v>
      </c>
      <c r="Q23" s="586">
        <v>0.12</v>
      </c>
      <c r="R23" s="586">
        <v>0.1</v>
      </c>
      <c r="S23" s="450">
        <f t="shared" si="1"/>
        <v>0.99999999999999989</v>
      </c>
      <c r="T23" s="848"/>
      <c r="U23" s="849">
        <v>0.1</v>
      </c>
      <c r="V23" s="877" t="s">
        <v>521</v>
      </c>
    </row>
    <row r="24" spans="1:22" ht="38.25" customHeight="1" thickBot="1" x14ac:dyDescent="0.3">
      <c r="A24" s="825"/>
      <c r="B24" s="825"/>
      <c r="C24" s="820"/>
      <c r="D24" s="830"/>
      <c r="E24" s="815"/>
      <c r="F24" s="250" t="s">
        <v>19</v>
      </c>
      <c r="G24" s="600">
        <v>0</v>
      </c>
      <c r="H24" s="600">
        <v>0</v>
      </c>
      <c r="I24" s="600">
        <v>0.09</v>
      </c>
      <c r="J24" s="600">
        <v>0.09</v>
      </c>
      <c r="K24" s="593">
        <v>0.09</v>
      </c>
      <c r="L24" s="601">
        <v>0.09</v>
      </c>
      <c r="M24" s="588">
        <v>0.09</v>
      </c>
      <c r="N24" s="602">
        <v>0.09</v>
      </c>
      <c r="O24" s="602">
        <v>0.12</v>
      </c>
      <c r="P24" s="601">
        <v>0.12</v>
      </c>
      <c r="Q24" s="602">
        <v>0.12</v>
      </c>
      <c r="R24" s="602">
        <v>0.1</v>
      </c>
      <c r="S24" s="453">
        <f t="shared" si="1"/>
        <v>0.99999999999999989</v>
      </c>
      <c r="T24" s="848"/>
      <c r="U24" s="846"/>
      <c r="V24" s="878"/>
    </row>
    <row r="25" spans="1:22" ht="22.35" customHeight="1" thickBot="1" x14ac:dyDescent="0.3">
      <c r="A25" s="823" t="s">
        <v>453</v>
      </c>
      <c r="B25" s="824"/>
      <c r="C25" s="824"/>
      <c r="D25" s="824"/>
      <c r="E25" s="824"/>
      <c r="F25" s="824"/>
      <c r="G25" s="824"/>
      <c r="H25" s="824"/>
      <c r="I25" s="824"/>
      <c r="J25" s="824"/>
      <c r="K25" s="824"/>
      <c r="L25" s="824"/>
      <c r="M25" s="824"/>
      <c r="N25" s="824"/>
      <c r="O25" s="824"/>
      <c r="P25" s="824"/>
      <c r="Q25" s="824"/>
      <c r="R25" s="824"/>
      <c r="S25" s="824"/>
      <c r="T25" s="255">
        <f>+T21+T15+T9</f>
        <v>1</v>
      </c>
      <c r="U25" s="255">
        <f>+U21+U17+U15+U13+U9+U23+U19+U11</f>
        <v>1</v>
      </c>
      <c r="V25" s="248"/>
    </row>
    <row r="26" spans="1:22" ht="22.35" customHeight="1" x14ac:dyDescent="0.25">
      <c r="A26" s="224"/>
      <c r="B26" s="224"/>
      <c r="C26" s="225"/>
      <c r="D26" s="224"/>
      <c r="E26" s="224"/>
      <c r="F26" s="224"/>
      <c r="G26" s="224"/>
      <c r="H26" s="224"/>
      <c r="I26" s="224"/>
      <c r="J26" s="224"/>
      <c r="K26" s="224"/>
      <c r="L26" s="224"/>
      <c r="M26" s="224"/>
      <c r="N26" s="226"/>
      <c r="O26" s="226"/>
      <c r="P26" s="226"/>
      <c r="Q26" s="226"/>
      <c r="R26" s="226"/>
      <c r="S26" s="226"/>
      <c r="T26" s="226"/>
      <c r="U26" s="226"/>
    </row>
    <row r="27" spans="1:22" ht="22.35" customHeight="1" x14ac:dyDescent="0.25">
      <c r="A27" s="224"/>
      <c r="B27" s="224"/>
      <c r="C27" s="225"/>
      <c r="D27" s="224"/>
      <c r="E27" s="224"/>
      <c r="F27" s="224"/>
      <c r="G27" s="224"/>
      <c r="H27" s="224"/>
      <c r="I27" s="224"/>
      <c r="J27" s="224"/>
      <c r="K27" s="224"/>
      <c r="L27" s="224"/>
      <c r="M27" s="224"/>
      <c r="N27" s="226"/>
      <c r="O27" s="226"/>
      <c r="P27" s="226"/>
      <c r="Q27" s="226"/>
      <c r="R27" s="226"/>
      <c r="S27" s="226"/>
      <c r="T27" s="226"/>
      <c r="U27" s="226"/>
    </row>
    <row r="28" spans="1:22" ht="22.35" customHeight="1" x14ac:dyDescent="0.25">
      <c r="A28" s="228" t="s">
        <v>35</v>
      </c>
      <c r="B28" s="710" t="s">
        <v>36</v>
      </c>
      <c r="C28" s="711"/>
      <c r="D28" s="711"/>
      <c r="E28" s="711"/>
      <c r="F28" s="711"/>
      <c r="G28" s="711"/>
      <c r="H28" s="712"/>
      <c r="I28" s="713" t="s">
        <v>37</v>
      </c>
      <c r="J28" s="714"/>
      <c r="K28" s="714"/>
      <c r="L28" s="714"/>
      <c r="M28" s="714"/>
      <c r="N28" s="714"/>
      <c r="O28" s="715"/>
      <c r="P28" s="226"/>
      <c r="Q28" s="226"/>
      <c r="R28" s="226"/>
      <c r="S28" s="226"/>
      <c r="T28" s="226"/>
      <c r="U28" s="226"/>
    </row>
    <row r="29" spans="1:22" ht="22.35" customHeight="1" x14ac:dyDescent="0.25">
      <c r="A29" s="229">
        <v>13</v>
      </c>
      <c r="B29" s="716" t="s">
        <v>89</v>
      </c>
      <c r="C29" s="716"/>
      <c r="D29" s="716"/>
      <c r="E29" s="716"/>
      <c r="F29" s="716"/>
      <c r="G29" s="716"/>
      <c r="H29" s="716"/>
      <c r="I29" s="716" t="s">
        <v>80</v>
      </c>
      <c r="J29" s="716"/>
      <c r="K29" s="716"/>
      <c r="L29" s="716"/>
      <c r="M29" s="716"/>
      <c r="N29" s="716"/>
      <c r="O29" s="716"/>
      <c r="P29" s="226"/>
      <c r="Q29" s="226"/>
      <c r="R29" s="226"/>
      <c r="S29" s="226"/>
      <c r="T29" s="226"/>
      <c r="U29" s="226"/>
    </row>
    <row r="30" spans="1:22" ht="22.35" customHeight="1" x14ac:dyDescent="0.25">
      <c r="A30" s="229">
        <v>14</v>
      </c>
      <c r="B30" s="716" t="s">
        <v>258</v>
      </c>
      <c r="C30" s="716"/>
      <c r="D30" s="716"/>
      <c r="E30" s="716"/>
      <c r="F30" s="716"/>
      <c r="G30" s="716"/>
      <c r="H30" s="716"/>
      <c r="I30" s="717" t="s">
        <v>333</v>
      </c>
      <c r="J30" s="717"/>
      <c r="K30" s="717"/>
      <c r="L30" s="717"/>
      <c r="M30" s="717"/>
      <c r="N30" s="717"/>
      <c r="O30" s="717"/>
      <c r="P30" s="226"/>
      <c r="Q30" s="226"/>
      <c r="R30" s="226"/>
      <c r="S30" s="226"/>
      <c r="T30" s="226"/>
      <c r="U30" s="226"/>
    </row>
    <row r="31" spans="1:22" ht="22.35" customHeight="1" x14ac:dyDescent="0.25">
      <c r="A31" s="224"/>
      <c r="B31" s="224"/>
      <c r="C31" s="225"/>
      <c r="D31" s="224"/>
      <c r="E31" s="224"/>
      <c r="F31" s="224"/>
      <c r="G31" s="224"/>
      <c r="H31" s="224"/>
      <c r="I31" s="224"/>
      <c r="J31" s="224"/>
      <c r="K31" s="224"/>
      <c r="L31" s="224"/>
      <c r="M31" s="224"/>
      <c r="N31" s="226"/>
      <c r="O31" s="226"/>
      <c r="P31" s="226"/>
      <c r="Q31" s="226"/>
      <c r="R31" s="226"/>
      <c r="S31" s="226"/>
      <c r="T31" s="226"/>
      <c r="U31" s="226"/>
    </row>
    <row r="32" spans="1:22" ht="22.35" customHeight="1" x14ac:dyDescent="0.25">
      <c r="A32" s="224"/>
      <c r="B32" s="224"/>
      <c r="C32" s="225"/>
      <c r="D32" s="224"/>
      <c r="E32" s="224"/>
      <c r="F32" s="224"/>
      <c r="G32" s="224"/>
      <c r="H32" s="224"/>
      <c r="I32" s="224"/>
      <c r="J32" s="224"/>
      <c r="K32" s="224"/>
      <c r="L32" s="224"/>
      <c r="M32" s="224"/>
      <c r="N32" s="226"/>
      <c r="O32" s="226"/>
      <c r="P32" s="226"/>
      <c r="Q32" s="226"/>
      <c r="R32" s="226"/>
      <c r="S32" s="226"/>
      <c r="T32" s="226"/>
      <c r="U32" s="226"/>
    </row>
    <row r="33" spans="1:21" ht="22.35" customHeight="1" x14ac:dyDescent="0.25">
      <c r="A33" s="224"/>
      <c r="B33" s="224"/>
      <c r="C33" s="225"/>
      <c r="D33" s="224"/>
      <c r="E33" s="224"/>
      <c r="F33" s="224"/>
      <c r="G33" s="224"/>
      <c r="H33" s="224"/>
      <c r="I33" s="224"/>
      <c r="J33" s="224"/>
      <c r="K33" s="224"/>
      <c r="L33" s="224"/>
      <c r="M33" s="224"/>
      <c r="N33" s="226"/>
      <c r="O33" s="226"/>
      <c r="P33" s="226"/>
      <c r="Q33" s="226"/>
      <c r="R33" s="226"/>
      <c r="S33" s="226"/>
      <c r="T33" s="226"/>
      <c r="U33" s="226"/>
    </row>
    <row r="34" spans="1:21" ht="22.35" customHeight="1" x14ac:dyDescent="0.25">
      <c r="A34" s="224"/>
      <c r="B34" s="224"/>
      <c r="C34" s="225"/>
      <c r="D34" s="224"/>
      <c r="E34" s="224"/>
      <c r="F34" s="224"/>
      <c r="G34" s="224"/>
      <c r="H34" s="224"/>
      <c r="I34" s="224"/>
      <c r="J34" s="224"/>
      <c r="K34" s="224"/>
      <c r="L34" s="224"/>
      <c r="M34" s="224"/>
      <c r="N34" s="226"/>
      <c r="O34" s="226"/>
      <c r="P34" s="226"/>
      <c r="Q34" s="226"/>
      <c r="R34" s="226"/>
      <c r="S34" s="226"/>
      <c r="T34" s="226"/>
      <c r="U34" s="226"/>
    </row>
    <row r="35" spans="1:21" ht="22.35" customHeight="1" x14ac:dyDescent="0.25">
      <c r="A35" s="224"/>
      <c r="B35" s="224"/>
      <c r="C35" s="225"/>
      <c r="D35" s="224"/>
      <c r="E35" s="224"/>
      <c r="F35" s="224"/>
      <c r="G35" s="224"/>
      <c r="H35" s="224"/>
      <c r="I35" s="224"/>
      <c r="J35" s="224"/>
      <c r="K35" s="224"/>
      <c r="L35" s="224"/>
      <c r="M35" s="224"/>
      <c r="N35" s="226"/>
      <c r="O35" s="226"/>
      <c r="P35" s="226"/>
      <c r="Q35" s="226"/>
      <c r="R35" s="226"/>
      <c r="S35" s="226"/>
      <c r="T35" s="226"/>
      <c r="U35" s="226"/>
    </row>
    <row r="36" spans="1:21" ht="22.35" customHeight="1" x14ac:dyDescent="0.25">
      <c r="A36" s="224"/>
      <c r="B36" s="224"/>
      <c r="C36" s="225"/>
      <c r="D36" s="224"/>
      <c r="E36" s="224"/>
      <c r="F36" s="224"/>
      <c r="G36" s="224"/>
      <c r="H36" s="224"/>
      <c r="I36" s="224"/>
      <c r="J36" s="224"/>
      <c r="K36" s="224"/>
      <c r="L36" s="224"/>
      <c r="M36" s="224"/>
      <c r="N36" s="226"/>
      <c r="O36" s="226"/>
      <c r="P36" s="226"/>
      <c r="Q36" s="226"/>
      <c r="R36" s="226"/>
      <c r="S36" s="226"/>
      <c r="T36" s="226"/>
      <c r="U36" s="226"/>
    </row>
    <row r="37" spans="1:21" ht="22.35" customHeight="1" x14ac:dyDescent="0.25">
      <c r="A37" s="224"/>
      <c r="B37" s="224"/>
      <c r="C37" s="225"/>
      <c r="D37" s="224"/>
      <c r="E37" s="224"/>
      <c r="F37" s="224"/>
      <c r="G37" s="224"/>
      <c r="H37" s="224"/>
      <c r="I37" s="224"/>
      <c r="J37" s="224"/>
      <c r="K37" s="224"/>
      <c r="L37" s="224"/>
      <c r="M37" s="224"/>
      <c r="N37" s="226"/>
      <c r="O37" s="226"/>
      <c r="P37" s="226"/>
      <c r="Q37" s="226"/>
      <c r="R37" s="226"/>
      <c r="S37" s="226"/>
      <c r="T37" s="226"/>
      <c r="U37" s="226"/>
    </row>
    <row r="38" spans="1:21" ht="22.35" customHeight="1" x14ac:dyDescent="0.25">
      <c r="A38" s="224"/>
      <c r="B38" s="224"/>
      <c r="C38" s="225"/>
      <c r="D38" s="224"/>
      <c r="E38" s="224"/>
      <c r="F38" s="224"/>
      <c r="G38" s="224"/>
      <c r="H38" s="224"/>
      <c r="I38" s="224"/>
      <c r="J38" s="224"/>
      <c r="K38" s="224"/>
      <c r="L38" s="224"/>
      <c r="M38" s="224"/>
      <c r="N38" s="226"/>
      <c r="O38" s="226"/>
      <c r="P38" s="226"/>
      <c r="Q38" s="226"/>
      <c r="R38" s="226"/>
      <c r="S38" s="226"/>
      <c r="T38" s="226"/>
      <c r="U38" s="226"/>
    </row>
    <row r="39" spans="1:21" ht="22.35" customHeight="1" x14ac:dyDescent="0.25">
      <c r="A39" s="224"/>
      <c r="B39" s="224"/>
      <c r="C39" s="225"/>
      <c r="D39" s="224"/>
      <c r="E39" s="224"/>
      <c r="F39" s="224"/>
      <c r="G39" s="224"/>
      <c r="H39" s="224"/>
      <c r="I39" s="224"/>
      <c r="J39" s="224"/>
      <c r="K39" s="224"/>
      <c r="L39" s="224"/>
      <c r="M39" s="224"/>
      <c r="N39" s="226"/>
      <c r="O39" s="226"/>
      <c r="P39" s="226"/>
      <c r="Q39" s="226"/>
      <c r="R39" s="226"/>
      <c r="S39" s="226"/>
      <c r="T39" s="226"/>
      <c r="U39" s="226"/>
    </row>
    <row r="40" spans="1:21" ht="22.35" customHeight="1" x14ac:dyDescent="0.25">
      <c r="A40" s="224"/>
      <c r="B40" s="224"/>
      <c r="C40" s="225"/>
      <c r="D40" s="224"/>
      <c r="E40" s="224"/>
      <c r="F40" s="224"/>
      <c r="G40" s="224"/>
      <c r="H40" s="224"/>
      <c r="I40" s="224"/>
      <c r="J40" s="224"/>
      <c r="K40" s="224"/>
      <c r="L40" s="224"/>
      <c r="M40" s="224"/>
      <c r="N40" s="226"/>
      <c r="O40" s="226"/>
      <c r="P40" s="226"/>
      <c r="Q40" s="226"/>
      <c r="R40" s="226"/>
      <c r="S40" s="226"/>
      <c r="T40" s="226"/>
      <c r="U40" s="226"/>
    </row>
    <row r="41" spans="1:21" ht="22.35" customHeight="1" x14ac:dyDescent="0.25">
      <c r="A41" s="224"/>
      <c r="B41" s="224"/>
      <c r="C41" s="225"/>
      <c r="D41" s="224"/>
      <c r="E41" s="224"/>
      <c r="F41" s="224"/>
      <c r="G41" s="224"/>
      <c r="H41" s="224"/>
      <c r="I41" s="224"/>
      <c r="J41" s="224"/>
      <c r="K41" s="224"/>
      <c r="L41" s="224"/>
      <c r="M41" s="224"/>
      <c r="N41" s="226"/>
      <c r="O41" s="226"/>
      <c r="P41" s="226"/>
      <c r="Q41" s="226"/>
      <c r="R41" s="226"/>
      <c r="S41" s="226"/>
      <c r="T41" s="226"/>
      <c r="U41" s="226"/>
    </row>
    <row r="42" spans="1:21" ht="22.35" customHeight="1" x14ac:dyDescent="0.25">
      <c r="A42" s="224"/>
      <c r="B42" s="224"/>
      <c r="C42" s="225"/>
      <c r="D42" s="224"/>
      <c r="E42" s="224"/>
      <c r="F42" s="224"/>
      <c r="G42" s="224"/>
      <c r="H42" s="224"/>
      <c r="I42" s="224"/>
      <c r="J42" s="224"/>
      <c r="K42" s="224"/>
      <c r="L42" s="224"/>
      <c r="M42" s="224"/>
      <c r="N42" s="226"/>
      <c r="O42" s="226"/>
      <c r="P42" s="226"/>
      <c r="Q42" s="226"/>
      <c r="R42" s="226"/>
      <c r="S42" s="226"/>
      <c r="T42" s="226"/>
      <c r="U42" s="226"/>
    </row>
    <row r="43" spans="1:21" ht="22.35" customHeight="1" x14ac:dyDescent="0.25">
      <c r="A43" s="224"/>
      <c r="B43" s="224"/>
      <c r="C43" s="225"/>
      <c r="D43" s="224"/>
      <c r="E43" s="224"/>
      <c r="F43" s="224"/>
      <c r="G43" s="224"/>
      <c r="H43" s="224"/>
      <c r="I43" s="224"/>
      <c r="J43" s="224"/>
      <c r="K43" s="224"/>
      <c r="L43" s="224"/>
      <c r="M43" s="224"/>
      <c r="N43" s="226"/>
      <c r="O43" s="226"/>
      <c r="P43" s="226"/>
      <c r="Q43" s="226"/>
      <c r="R43" s="226"/>
      <c r="S43" s="226"/>
      <c r="T43" s="226"/>
      <c r="U43" s="226"/>
    </row>
    <row r="44" spans="1:21" ht="22.35" customHeight="1" x14ac:dyDescent="0.25">
      <c r="A44" s="224"/>
      <c r="B44" s="224"/>
      <c r="C44" s="225"/>
      <c r="D44" s="224"/>
      <c r="E44" s="224"/>
      <c r="F44" s="224"/>
      <c r="G44" s="224"/>
      <c r="H44" s="224"/>
      <c r="I44" s="224"/>
      <c r="J44" s="224"/>
      <c r="K44" s="224"/>
      <c r="L44" s="224"/>
      <c r="M44" s="224"/>
      <c r="N44" s="226"/>
      <c r="O44" s="226"/>
      <c r="P44" s="226"/>
      <c r="Q44" s="226"/>
      <c r="R44" s="226"/>
      <c r="S44" s="226"/>
      <c r="T44" s="226"/>
      <c r="U44" s="226"/>
    </row>
    <row r="45" spans="1:21" ht="22.35" customHeight="1" x14ac:dyDescent="0.25">
      <c r="A45" s="224"/>
      <c r="B45" s="224"/>
      <c r="C45" s="225"/>
      <c r="D45" s="224"/>
      <c r="E45" s="224"/>
      <c r="F45" s="224"/>
      <c r="G45" s="224"/>
      <c r="H45" s="224"/>
      <c r="I45" s="224"/>
      <c r="J45" s="224"/>
      <c r="K45" s="224"/>
      <c r="L45" s="224"/>
      <c r="M45" s="224"/>
      <c r="N45" s="226"/>
      <c r="O45" s="226"/>
      <c r="P45" s="226"/>
      <c r="Q45" s="226"/>
      <c r="R45" s="226"/>
      <c r="S45" s="226"/>
      <c r="T45" s="226"/>
      <c r="U45" s="226"/>
    </row>
    <row r="46" spans="1:21" ht="22.35" customHeight="1" x14ac:dyDescent="0.25">
      <c r="A46" s="224"/>
      <c r="B46" s="224"/>
      <c r="C46" s="225"/>
      <c r="D46" s="224"/>
      <c r="E46" s="224"/>
      <c r="F46" s="224"/>
      <c r="G46" s="224"/>
      <c r="H46" s="224"/>
      <c r="I46" s="224"/>
      <c r="J46" s="224"/>
      <c r="K46" s="224"/>
      <c r="L46" s="224"/>
      <c r="M46" s="224"/>
      <c r="N46" s="226"/>
      <c r="O46" s="226"/>
      <c r="P46" s="226"/>
      <c r="Q46" s="226"/>
      <c r="R46" s="226"/>
      <c r="S46" s="226"/>
      <c r="T46" s="226"/>
      <c r="U46" s="226"/>
    </row>
    <row r="47" spans="1:21" ht="22.35" customHeight="1" x14ac:dyDescent="0.25">
      <c r="A47" s="224"/>
      <c r="B47" s="224"/>
      <c r="C47" s="225"/>
      <c r="D47" s="224"/>
      <c r="E47" s="224"/>
      <c r="F47" s="224"/>
      <c r="G47" s="224"/>
      <c r="H47" s="224"/>
      <c r="I47" s="224"/>
      <c r="J47" s="224"/>
      <c r="K47" s="224"/>
      <c r="L47" s="224"/>
      <c r="M47" s="224"/>
      <c r="N47" s="226"/>
      <c r="O47" s="226"/>
      <c r="P47" s="226"/>
      <c r="Q47" s="226"/>
      <c r="R47" s="226"/>
      <c r="S47" s="226"/>
      <c r="T47" s="226"/>
      <c r="U47" s="226"/>
    </row>
    <row r="48" spans="1:21" ht="22.35" customHeight="1" x14ac:dyDescent="0.25">
      <c r="A48" s="224"/>
      <c r="B48" s="224"/>
      <c r="C48" s="225"/>
      <c r="D48" s="224"/>
      <c r="E48" s="224"/>
      <c r="F48" s="224"/>
      <c r="G48" s="224"/>
      <c r="H48" s="224"/>
      <c r="I48" s="224"/>
      <c r="J48" s="224"/>
      <c r="K48" s="224"/>
      <c r="L48" s="224"/>
      <c r="M48" s="224"/>
      <c r="N48" s="226"/>
      <c r="O48" s="226"/>
      <c r="P48" s="226"/>
      <c r="Q48" s="226"/>
      <c r="R48" s="226"/>
      <c r="S48" s="226"/>
      <c r="T48" s="226"/>
      <c r="U48" s="226"/>
    </row>
    <row r="49" spans="1:21" ht="22.35" customHeight="1" x14ac:dyDescent="0.25">
      <c r="A49" s="224"/>
      <c r="B49" s="224"/>
      <c r="C49" s="225"/>
      <c r="D49" s="224"/>
      <c r="E49" s="224"/>
      <c r="F49" s="224"/>
      <c r="G49" s="224"/>
      <c r="H49" s="224"/>
      <c r="I49" s="224"/>
      <c r="J49" s="224"/>
      <c r="K49" s="224"/>
      <c r="L49" s="224"/>
      <c r="M49" s="224"/>
      <c r="N49" s="226"/>
      <c r="O49" s="226"/>
      <c r="P49" s="226"/>
      <c r="Q49" s="226"/>
      <c r="R49" s="226"/>
      <c r="S49" s="226"/>
      <c r="T49" s="226"/>
      <c r="U49" s="226"/>
    </row>
    <row r="50" spans="1:21" ht="22.35" customHeight="1" x14ac:dyDescent="0.25">
      <c r="A50" s="224"/>
      <c r="B50" s="224"/>
      <c r="C50" s="225"/>
      <c r="D50" s="224"/>
      <c r="E50" s="224"/>
      <c r="F50" s="224"/>
      <c r="G50" s="224"/>
      <c r="H50" s="224"/>
      <c r="I50" s="224"/>
      <c r="J50" s="224"/>
      <c r="K50" s="224"/>
      <c r="L50" s="224"/>
      <c r="M50" s="224"/>
      <c r="N50" s="226"/>
      <c r="O50" s="226"/>
      <c r="P50" s="226"/>
      <c r="Q50" s="226"/>
      <c r="R50" s="226"/>
      <c r="S50" s="226"/>
      <c r="T50" s="226"/>
      <c r="U50" s="226"/>
    </row>
    <row r="51" spans="1:21" ht="22.35" customHeight="1" x14ac:dyDescent="0.25">
      <c r="C51" s="225"/>
      <c r="D51" s="224"/>
      <c r="E51" s="224"/>
      <c r="F51" s="224"/>
      <c r="G51" s="224"/>
      <c r="H51" s="224"/>
      <c r="I51" s="224"/>
      <c r="J51" s="224"/>
      <c r="K51" s="224"/>
      <c r="L51" s="224"/>
      <c r="M51" s="224"/>
      <c r="N51" s="226"/>
    </row>
    <row r="52" spans="1:21" ht="22.35" customHeight="1" x14ac:dyDescent="0.25">
      <c r="C52" s="225"/>
      <c r="D52" s="224"/>
      <c r="E52" s="224"/>
      <c r="F52" s="224"/>
      <c r="G52" s="224"/>
      <c r="H52" s="224"/>
      <c r="I52" s="224"/>
      <c r="J52" s="224"/>
      <c r="K52" s="224"/>
      <c r="L52" s="224"/>
      <c r="M52" s="224"/>
      <c r="N52" s="226"/>
    </row>
    <row r="53" spans="1:21" ht="22.35" customHeight="1" x14ac:dyDescent="0.25">
      <c r="C53" s="225"/>
      <c r="D53" s="224"/>
      <c r="E53" s="224"/>
      <c r="F53" s="224"/>
      <c r="G53" s="224"/>
      <c r="H53" s="224"/>
      <c r="I53" s="224"/>
      <c r="J53" s="224"/>
      <c r="K53" s="224"/>
      <c r="L53" s="224"/>
      <c r="M53" s="224"/>
      <c r="N53" s="226"/>
    </row>
    <row r="54" spans="1:21" ht="22.35" customHeight="1" x14ac:dyDescent="0.25">
      <c r="C54" s="225"/>
      <c r="D54" s="224"/>
      <c r="E54" s="224"/>
      <c r="F54" s="224"/>
      <c r="G54" s="224"/>
      <c r="H54" s="224"/>
      <c r="I54" s="224"/>
      <c r="J54" s="224"/>
      <c r="K54" s="224"/>
      <c r="L54" s="224"/>
      <c r="M54" s="224"/>
      <c r="N54" s="226"/>
    </row>
  </sheetData>
  <sheetProtection formatCells="0" formatColumns="0" formatRows="0" insertHyperlinks="0" sort="0" autoFilter="0" pivotTables="0"/>
  <mergeCells count="70">
    <mergeCell ref="V15:V16"/>
    <mergeCell ref="V19:V20"/>
    <mergeCell ref="V17:V18"/>
    <mergeCell ref="T21:T24"/>
    <mergeCell ref="V21:V22"/>
    <mergeCell ref="V23:V24"/>
    <mergeCell ref="U17:U18"/>
    <mergeCell ref="U19:U20"/>
    <mergeCell ref="T15:T20"/>
    <mergeCell ref="U15:U16"/>
    <mergeCell ref="U21:U22"/>
    <mergeCell ref="U23:U24"/>
    <mergeCell ref="A1:C3"/>
    <mergeCell ref="D1:V1"/>
    <mergeCell ref="D2:V2"/>
    <mergeCell ref="A5:C5"/>
    <mergeCell ref="D4:V4"/>
    <mergeCell ref="D5:V5"/>
    <mergeCell ref="A4:C4"/>
    <mergeCell ref="D3:U3"/>
    <mergeCell ref="V11:V12"/>
    <mergeCell ref="U11:U12"/>
    <mergeCell ref="T9:T14"/>
    <mergeCell ref="U9:U10"/>
    <mergeCell ref="U13:U14"/>
    <mergeCell ref="V9:V10"/>
    <mergeCell ref="V13:V14"/>
    <mergeCell ref="A6:V6"/>
    <mergeCell ref="T7:U7"/>
    <mergeCell ref="B7:B8"/>
    <mergeCell ref="C7:C8"/>
    <mergeCell ref="D7:E7"/>
    <mergeCell ref="F7:S7"/>
    <mergeCell ref="V7:V8"/>
    <mergeCell ref="A7:A8"/>
    <mergeCell ref="B30:H30"/>
    <mergeCell ref="I30:O30"/>
    <mergeCell ref="B28:H28"/>
    <mergeCell ref="I28:O28"/>
    <mergeCell ref="B29:H29"/>
    <mergeCell ref="I29:O29"/>
    <mergeCell ref="A25:S25"/>
    <mergeCell ref="A9:A24"/>
    <mergeCell ref="B15:B20"/>
    <mergeCell ref="C15:C16"/>
    <mergeCell ref="C9:C10"/>
    <mergeCell ref="C13:C14"/>
    <mergeCell ref="D13:D14"/>
    <mergeCell ref="D9:D10"/>
    <mergeCell ref="C17:C18"/>
    <mergeCell ref="D21:D22"/>
    <mergeCell ref="E21:E22"/>
    <mergeCell ref="D23:D24"/>
    <mergeCell ref="B21:B24"/>
    <mergeCell ref="C21:C22"/>
    <mergeCell ref="C23:C24"/>
    <mergeCell ref="C19:C20"/>
    <mergeCell ref="D19:D20"/>
    <mergeCell ref="E23:E24"/>
    <mergeCell ref="B9:B14"/>
    <mergeCell ref="E13:E14"/>
    <mergeCell ref="E9:E10"/>
    <mergeCell ref="D17:D18"/>
    <mergeCell ref="E17:E18"/>
    <mergeCell ref="C11:C12"/>
    <mergeCell ref="D11:D12"/>
    <mergeCell ref="E11:E12"/>
    <mergeCell ref="D15:D16"/>
    <mergeCell ref="E15:E16"/>
    <mergeCell ref="E19:E20"/>
  </mergeCells>
  <dataValidations count="1">
    <dataValidation type="textLength" operator="lessThan" allowBlank="1" showInputMessage="1" showErrorMessage="1" sqref="V9:V2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T9"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598"/>
  <sheetViews>
    <sheetView zoomScale="62" zoomScaleNormal="62" workbookViewId="0">
      <selection activeCell="A28" sqref="A28:AY30"/>
    </sheetView>
  </sheetViews>
  <sheetFormatPr baseColWidth="10" defaultRowHeight="15" x14ac:dyDescent="0.25"/>
  <cols>
    <col min="2" max="2" width="27.5703125" customWidth="1"/>
    <col min="3" max="3" width="28.28515625" customWidth="1"/>
    <col min="4" max="4" width="17.85546875" customWidth="1"/>
    <col min="5" max="6" width="24.28515625" customWidth="1"/>
    <col min="7" max="11" width="27.28515625" customWidth="1"/>
    <col min="12" max="12" width="25" customWidth="1"/>
    <col min="13" max="13" width="26.42578125" customWidth="1"/>
    <col min="14" max="14" width="27.140625" customWidth="1"/>
    <col min="15" max="15" width="27" customWidth="1"/>
    <col min="16" max="16" width="24.28515625" customWidth="1"/>
    <col min="17" max="17" width="26.140625" customWidth="1"/>
    <col min="18" max="18" width="22" customWidth="1"/>
    <col min="19" max="19" width="20.85546875" customWidth="1"/>
    <col min="20" max="25" width="26.85546875" customWidth="1"/>
    <col min="26" max="26" width="25" customWidth="1"/>
    <col min="27" max="27" width="26.5703125" customWidth="1"/>
    <col min="28" max="28" width="24.5703125" customWidth="1"/>
    <col min="29" max="29" width="21.85546875" customWidth="1"/>
    <col min="30" max="30" width="22.5703125" customWidth="1"/>
    <col min="31" max="31" width="25.5703125" customWidth="1"/>
    <col min="32" max="32" width="23.85546875" customWidth="1"/>
    <col min="33" max="36" width="11.5703125" customWidth="1"/>
    <col min="37" max="37" width="21" customWidth="1"/>
    <col min="38" max="44" width="11.5703125" customWidth="1"/>
    <col min="45" max="45" width="25" customWidth="1"/>
    <col min="46" max="51" width="11.5703125" customWidth="1"/>
  </cols>
  <sheetData>
    <row r="1" spans="1:51" ht="24.6" customHeight="1" x14ac:dyDescent="0.25">
      <c r="A1" s="761"/>
      <c r="B1" s="762"/>
      <c r="C1" s="762"/>
      <c r="D1" s="762"/>
      <c r="E1" s="984" t="s">
        <v>38</v>
      </c>
      <c r="F1" s="984"/>
      <c r="G1" s="984"/>
      <c r="H1" s="984"/>
      <c r="I1" s="984"/>
      <c r="J1" s="984"/>
      <c r="K1" s="984"/>
      <c r="L1" s="984"/>
      <c r="M1" s="984"/>
      <c r="N1" s="984"/>
      <c r="O1" s="984"/>
      <c r="P1" s="984"/>
      <c r="Q1" s="984"/>
      <c r="R1" s="984"/>
      <c r="S1" s="984"/>
      <c r="T1" s="984"/>
      <c r="U1" s="984"/>
      <c r="V1" s="984"/>
      <c r="W1" s="984"/>
      <c r="X1" s="984"/>
      <c r="Y1" s="984"/>
      <c r="Z1" s="984"/>
      <c r="AA1" s="984"/>
      <c r="AB1" s="984"/>
      <c r="AC1" s="984"/>
      <c r="AD1" s="984"/>
      <c r="AE1" s="984"/>
      <c r="AF1" s="984"/>
      <c r="AG1" s="984"/>
      <c r="AH1" s="984"/>
      <c r="AI1" s="984"/>
      <c r="AJ1" s="984"/>
      <c r="AK1" s="984"/>
      <c r="AL1" s="984"/>
      <c r="AM1" s="984"/>
      <c r="AN1" s="984"/>
      <c r="AO1" s="984"/>
      <c r="AP1" s="984"/>
      <c r="AQ1" s="984"/>
      <c r="AR1" s="984"/>
      <c r="AS1" s="984"/>
      <c r="AT1" s="984"/>
      <c r="AU1" s="984"/>
      <c r="AV1" s="984"/>
      <c r="AW1" s="984"/>
      <c r="AX1" s="984"/>
      <c r="AY1" s="984"/>
    </row>
    <row r="2" spans="1:51" ht="24.6" customHeight="1" thickBot="1" x14ac:dyDescent="0.3">
      <c r="A2" s="764"/>
      <c r="B2" s="765"/>
      <c r="C2" s="765"/>
      <c r="D2" s="765"/>
      <c r="E2" s="985" t="s">
        <v>455</v>
      </c>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c r="AH2" s="986"/>
      <c r="AI2" s="986"/>
      <c r="AJ2" s="986"/>
      <c r="AK2" s="986"/>
      <c r="AL2" s="986"/>
      <c r="AM2" s="986"/>
      <c r="AN2" s="986"/>
      <c r="AO2" s="986"/>
      <c r="AP2" s="986"/>
      <c r="AQ2" s="986"/>
      <c r="AR2" s="986"/>
      <c r="AS2" s="986"/>
      <c r="AT2" s="986"/>
      <c r="AU2" s="986"/>
      <c r="AV2" s="986"/>
      <c r="AW2" s="986"/>
      <c r="AX2" s="986"/>
      <c r="AY2" s="986"/>
    </row>
    <row r="3" spans="1:51" ht="24.6" customHeight="1" thickBot="1" x14ac:dyDescent="0.3">
      <c r="A3" s="764"/>
      <c r="B3" s="765"/>
      <c r="C3" s="765"/>
      <c r="D3" s="765"/>
      <c r="E3" s="987" t="s">
        <v>39</v>
      </c>
      <c r="F3" s="988"/>
      <c r="G3" s="988"/>
      <c r="H3" s="988"/>
      <c r="I3" s="988"/>
      <c r="J3" s="988"/>
      <c r="K3" s="988"/>
      <c r="L3" s="988"/>
      <c r="M3" s="988"/>
      <c r="N3" s="988"/>
      <c r="O3" s="988"/>
      <c r="P3" s="988"/>
      <c r="Q3" s="988"/>
      <c r="R3" s="988"/>
      <c r="S3" s="988"/>
      <c r="T3" s="988"/>
      <c r="U3" s="988"/>
      <c r="V3" s="988"/>
      <c r="W3" s="988"/>
      <c r="X3" s="988"/>
      <c r="Y3" s="988"/>
      <c r="Z3" s="988"/>
      <c r="AA3" s="988"/>
      <c r="AB3" s="988"/>
      <c r="AC3" s="988"/>
      <c r="AD3" s="989"/>
      <c r="AE3" s="990" t="s">
        <v>332</v>
      </c>
      <c r="AF3" s="991"/>
      <c r="AG3" s="991"/>
      <c r="AH3" s="991"/>
      <c r="AI3" s="991"/>
      <c r="AJ3" s="991"/>
      <c r="AK3" s="991"/>
      <c r="AL3" s="991"/>
      <c r="AM3" s="991"/>
      <c r="AN3" s="991"/>
      <c r="AO3" s="991"/>
      <c r="AP3" s="991"/>
      <c r="AQ3" s="991"/>
      <c r="AR3" s="991"/>
      <c r="AS3" s="991"/>
      <c r="AT3" s="991"/>
      <c r="AU3" s="991"/>
      <c r="AV3" s="991"/>
      <c r="AW3" s="991"/>
      <c r="AX3" s="991"/>
      <c r="AY3" s="992"/>
    </row>
    <row r="4" spans="1:51" ht="18.75" thickBot="1" x14ac:dyDescent="0.3">
      <c r="A4" s="993" t="s">
        <v>0</v>
      </c>
      <c r="B4" s="994"/>
      <c r="C4" s="994"/>
      <c r="D4" s="995"/>
      <c r="E4" s="996" t="s">
        <v>294</v>
      </c>
      <c r="F4" s="996"/>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997"/>
      <c r="AY4" s="998"/>
    </row>
    <row r="5" spans="1:51" ht="18.75" thickBot="1" x14ac:dyDescent="0.3">
      <c r="A5" s="673" t="s">
        <v>2</v>
      </c>
      <c r="B5" s="674"/>
      <c r="C5" s="674"/>
      <c r="D5" s="962"/>
      <c r="E5" s="963" t="s">
        <v>331</v>
      </c>
      <c r="F5" s="963"/>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c r="AI5" s="964"/>
      <c r="AJ5" s="964"/>
      <c r="AK5" s="964"/>
      <c r="AL5" s="964"/>
      <c r="AM5" s="964"/>
      <c r="AN5" s="964"/>
      <c r="AO5" s="964"/>
      <c r="AP5" s="964"/>
      <c r="AQ5" s="964"/>
      <c r="AR5" s="964"/>
      <c r="AS5" s="964"/>
      <c r="AT5" s="964"/>
      <c r="AU5" s="964"/>
      <c r="AV5" s="964"/>
      <c r="AW5" s="964"/>
      <c r="AX5" s="964"/>
      <c r="AY5" s="965"/>
    </row>
    <row r="6" spans="1:51" ht="18.75" thickBot="1" x14ac:dyDescent="0.3">
      <c r="A6" s="966" t="s">
        <v>20</v>
      </c>
      <c r="B6" s="967"/>
      <c r="C6" s="967"/>
      <c r="D6" s="968"/>
      <c r="E6" s="969" t="s">
        <v>519</v>
      </c>
      <c r="F6" s="969"/>
      <c r="G6" s="969"/>
      <c r="H6" s="969"/>
      <c r="I6" s="969"/>
      <c r="J6" s="969"/>
      <c r="K6" s="969"/>
      <c r="L6" s="969"/>
      <c r="M6" s="969"/>
      <c r="N6" s="969"/>
      <c r="O6" s="969"/>
      <c r="P6" s="969"/>
      <c r="Q6" s="969"/>
      <c r="R6" s="970"/>
      <c r="S6" s="970"/>
      <c r="T6" s="970"/>
      <c r="U6" s="970"/>
      <c r="V6" s="970"/>
      <c r="W6" s="970"/>
      <c r="X6" s="970"/>
      <c r="Y6" s="970"/>
      <c r="Z6" s="970"/>
      <c r="AA6" s="970"/>
      <c r="AB6" s="970"/>
      <c r="AC6" s="970"/>
      <c r="AD6" s="970"/>
      <c r="AE6" s="970"/>
      <c r="AF6" s="970"/>
      <c r="AG6" s="970"/>
      <c r="AH6" s="970"/>
      <c r="AI6" s="970"/>
      <c r="AJ6" s="970"/>
      <c r="AK6" s="970"/>
      <c r="AL6" s="970"/>
      <c r="AM6" s="970"/>
      <c r="AN6" s="970"/>
      <c r="AO6" s="970"/>
      <c r="AP6" s="970"/>
      <c r="AQ6" s="970"/>
      <c r="AR6" s="970"/>
      <c r="AS6" s="970"/>
      <c r="AT6" s="970"/>
      <c r="AU6" s="970"/>
      <c r="AV6" s="970"/>
      <c r="AW6" s="970"/>
      <c r="AX6" s="970"/>
      <c r="AY6" s="971"/>
    </row>
    <row r="7" spans="1:51" ht="18.75" thickBot="1" x14ac:dyDescent="0.3">
      <c r="A7" s="972"/>
      <c r="B7" s="973"/>
      <c r="C7" s="973"/>
      <c r="D7" s="973"/>
      <c r="E7" s="973"/>
      <c r="F7" s="973"/>
      <c r="G7" s="974"/>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4"/>
      <c r="AH7" s="974"/>
      <c r="AI7" s="974"/>
      <c r="AJ7" s="974"/>
      <c r="AK7" s="974"/>
      <c r="AL7" s="974"/>
      <c r="AM7" s="974"/>
      <c r="AN7" s="974"/>
      <c r="AO7" s="974"/>
      <c r="AP7" s="974"/>
      <c r="AQ7" s="974"/>
      <c r="AR7" s="974"/>
      <c r="AS7" s="974"/>
      <c r="AT7" s="974"/>
      <c r="AU7" s="974"/>
      <c r="AV7" s="974"/>
      <c r="AW7" s="974"/>
      <c r="AX7" s="974"/>
      <c r="AY7" s="975"/>
    </row>
    <row r="8" spans="1:51" ht="36" customHeight="1" thickBot="1" x14ac:dyDescent="0.3">
      <c r="A8" s="976" t="s">
        <v>90</v>
      </c>
      <c r="B8" s="977"/>
      <c r="C8" s="977"/>
      <c r="D8" s="977"/>
      <c r="E8" s="977"/>
      <c r="F8" s="978"/>
      <c r="G8" s="979" t="s">
        <v>94</v>
      </c>
      <c r="H8" s="979"/>
      <c r="I8" s="979"/>
      <c r="J8" s="979"/>
      <c r="K8" s="979"/>
      <c r="L8" s="979"/>
      <c r="M8" s="979"/>
      <c r="N8" s="979"/>
      <c r="O8" s="979"/>
      <c r="P8" s="979"/>
      <c r="Q8" s="979"/>
      <c r="R8" s="979"/>
      <c r="S8" s="980"/>
      <c r="T8" s="981" t="s">
        <v>95</v>
      </c>
      <c r="U8" s="979"/>
      <c r="V8" s="979"/>
      <c r="W8" s="979"/>
      <c r="X8" s="979"/>
      <c r="Y8" s="979"/>
      <c r="Z8" s="979"/>
      <c r="AA8" s="979"/>
      <c r="AB8" s="979"/>
      <c r="AC8" s="979"/>
      <c r="AD8" s="979"/>
      <c r="AE8" s="979"/>
      <c r="AF8" s="980"/>
      <c r="AG8" s="982" t="s">
        <v>96</v>
      </c>
      <c r="AH8" s="983"/>
      <c r="AI8" s="983"/>
      <c r="AJ8" s="983"/>
      <c r="AK8" s="983"/>
      <c r="AL8" s="953" t="s">
        <v>102</v>
      </c>
      <c r="AM8" s="954"/>
      <c r="AN8" s="952" t="s">
        <v>300</v>
      </c>
      <c r="AO8" s="953"/>
      <c r="AP8" s="953"/>
      <c r="AQ8" s="953"/>
      <c r="AR8" s="953"/>
      <c r="AS8" s="953"/>
      <c r="AT8" s="953"/>
      <c r="AU8" s="953"/>
      <c r="AV8" s="953"/>
      <c r="AW8" s="953"/>
      <c r="AX8" s="954"/>
      <c r="AY8" s="955" t="s">
        <v>116</v>
      </c>
    </row>
    <row r="9" spans="1:51" ht="52.5" customHeight="1" thickBot="1" x14ac:dyDescent="0.3">
      <c r="A9" s="461" t="s">
        <v>91</v>
      </c>
      <c r="B9" s="462" t="s">
        <v>92</v>
      </c>
      <c r="C9" s="463" t="s">
        <v>487</v>
      </c>
      <c r="D9" s="464" t="s">
        <v>93</v>
      </c>
      <c r="E9" s="461" t="s">
        <v>383</v>
      </c>
      <c r="F9" s="472" t="s">
        <v>384</v>
      </c>
      <c r="G9" s="471" t="s">
        <v>5</v>
      </c>
      <c r="H9" s="253" t="s">
        <v>6</v>
      </c>
      <c r="I9" s="253" t="s">
        <v>7</v>
      </c>
      <c r="J9" s="253" t="s">
        <v>8</v>
      </c>
      <c r="K9" s="253" t="s">
        <v>9</v>
      </c>
      <c r="L9" s="253" t="s">
        <v>10</v>
      </c>
      <c r="M9" s="253" t="s">
        <v>11</v>
      </c>
      <c r="N9" s="253" t="s">
        <v>12</v>
      </c>
      <c r="O9" s="253" t="s">
        <v>13</v>
      </c>
      <c r="P9" s="253" t="s">
        <v>14</v>
      </c>
      <c r="Q9" s="253" t="s">
        <v>15</v>
      </c>
      <c r="R9" s="253" t="s">
        <v>16</v>
      </c>
      <c r="S9" s="567" t="s">
        <v>65</v>
      </c>
      <c r="T9" s="465" t="s">
        <v>5</v>
      </c>
      <c r="U9" s="253" t="s">
        <v>6</v>
      </c>
      <c r="V9" s="253" t="s">
        <v>7</v>
      </c>
      <c r="W9" s="253" t="s">
        <v>8</v>
      </c>
      <c r="X9" s="253" t="s">
        <v>9</v>
      </c>
      <c r="Y9" s="253" t="s">
        <v>10</v>
      </c>
      <c r="Z9" s="253" t="s">
        <v>11</v>
      </c>
      <c r="AA9" s="253" t="s">
        <v>12</v>
      </c>
      <c r="AB9" s="253" t="s">
        <v>13</v>
      </c>
      <c r="AC9" s="253" t="s">
        <v>14</v>
      </c>
      <c r="AD9" s="253" t="s">
        <v>15</v>
      </c>
      <c r="AE9" s="466" t="s">
        <v>16</v>
      </c>
      <c r="AF9" s="467" t="s">
        <v>66</v>
      </c>
      <c r="AG9" s="468" t="s">
        <v>97</v>
      </c>
      <c r="AH9" s="467" t="s">
        <v>98</v>
      </c>
      <c r="AI9" s="467" t="s">
        <v>99</v>
      </c>
      <c r="AJ9" s="467" t="s">
        <v>100</v>
      </c>
      <c r="AK9" s="467" t="s">
        <v>101</v>
      </c>
      <c r="AL9" s="467" t="s">
        <v>103</v>
      </c>
      <c r="AM9" s="467" t="s">
        <v>104</v>
      </c>
      <c r="AN9" s="469" t="s">
        <v>105</v>
      </c>
      <c r="AO9" s="469" t="s">
        <v>106</v>
      </c>
      <c r="AP9" s="469" t="s">
        <v>107</v>
      </c>
      <c r="AQ9" s="469" t="s">
        <v>108</v>
      </c>
      <c r="AR9" s="469" t="s">
        <v>109</v>
      </c>
      <c r="AS9" s="469" t="s">
        <v>110</v>
      </c>
      <c r="AT9" s="469" t="s">
        <v>111</v>
      </c>
      <c r="AU9" s="469" t="s">
        <v>112</v>
      </c>
      <c r="AV9" s="469" t="s">
        <v>113</v>
      </c>
      <c r="AW9" s="469" t="s">
        <v>114</v>
      </c>
      <c r="AX9" s="470" t="s">
        <v>115</v>
      </c>
      <c r="AY9" s="956"/>
    </row>
    <row r="10" spans="1:51" ht="25.5" customHeight="1" x14ac:dyDescent="0.25">
      <c r="A10" s="957">
        <v>1</v>
      </c>
      <c r="B10" s="958" t="s">
        <v>297</v>
      </c>
      <c r="C10" s="959" t="s">
        <v>465</v>
      </c>
      <c r="D10" s="460" t="s">
        <v>40</v>
      </c>
      <c r="E10" s="502">
        <v>7217</v>
      </c>
      <c r="F10" s="502">
        <v>7217</v>
      </c>
      <c r="G10" s="502">
        <v>7217</v>
      </c>
      <c r="H10" s="502">
        <v>7217</v>
      </c>
      <c r="I10" s="502">
        <v>7217</v>
      </c>
      <c r="J10" s="502">
        <v>7217</v>
      </c>
      <c r="K10" s="528">
        <v>7217</v>
      </c>
      <c r="L10" s="528">
        <v>7217</v>
      </c>
      <c r="M10" s="528">
        <f>+[10]INVERSIÓN!DL10</f>
        <v>7217</v>
      </c>
      <c r="N10" s="502">
        <v>7217</v>
      </c>
      <c r="O10" s="502">
        <v>7217</v>
      </c>
      <c r="P10" s="502">
        <v>7217</v>
      </c>
      <c r="Q10" s="503">
        <v>7217</v>
      </c>
      <c r="R10" s="503">
        <f>+[11]INVERSIÓN!DI10</f>
        <v>7217</v>
      </c>
      <c r="S10" s="542"/>
      <c r="T10" s="504">
        <v>0</v>
      </c>
      <c r="U10" s="505">
        <v>47</v>
      </c>
      <c r="V10" s="505">
        <v>414</v>
      </c>
      <c r="W10" s="505">
        <v>1517</v>
      </c>
      <c r="X10" s="506">
        <v>2446</v>
      </c>
      <c r="Y10" s="505">
        <v>3371</v>
      </c>
      <c r="Z10" s="505">
        <f>+[10]INVERSIÓN!DM10</f>
        <v>4213</v>
      </c>
      <c r="AA10" s="503">
        <v>4554</v>
      </c>
      <c r="AB10" s="503">
        <v>5236</v>
      </c>
      <c r="AC10" s="502">
        <v>5936</v>
      </c>
      <c r="AD10" s="503">
        <v>6750</v>
      </c>
      <c r="AE10" s="503">
        <f>+[11]INVERSIÓN!DK10</f>
        <v>7052</v>
      </c>
      <c r="AF10" s="542"/>
      <c r="AG10" s="543" t="s">
        <v>301</v>
      </c>
      <c r="AH10" s="532" t="s">
        <v>68</v>
      </c>
      <c r="AI10" s="532" t="s">
        <v>68</v>
      </c>
      <c r="AJ10" s="530" t="s">
        <v>68</v>
      </c>
      <c r="AK10" s="531" t="str">
        <f>+[11]INVERSIÓN!EW10</f>
        <v>Durante el período comprendido del 01 de enero al 31 de Diciembre del 2023, se avanzó en un 97,7% de lo programado en la vigencia, lo que representa el diagnóstico, clasificación e intervención jurídica de 7.052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1.397  trámites administrativos ambientales, los cuales están representados en 1.266 actuaciones de impulso y 131 actuaciones de fondo, originadas de los procesos de evaluación control y seguimiento.</v>
      </c>
      <c r="AL10" s="532" t="s">
        <v>68</v>
      </c>
      <c r="AM10" s="532" t="s">
        <v>68</v>
      </c>
      <c r="AN10" s="541">
        <v>1395</v>
      </c>
      <c r="AO10" s="538">
        <v>564</v>
      </c>
      <c r="AP10" s="538">
        <v>695</v>
      </c>
      <c r="AQ10" s="537" t="s">
        <v>68</v>
      </c>
      <c r="AR10" s="529" t="s">
        <v>302</v>
      </c>
      <c r="AS10" s="536" t="s">
        <v>303</v>
      </c>
      <c r="AT10" s="529" t="s">
        <v>304</v>
      </c>
      <c r="AU10" s="529" t="s">
        <v>305</v>
      </c>
      <c r="AV10" s="529" t="s">
        <v>68</v>
      </c>
      <c r="AW10" s="529" t="s">
        <v>68</v>
      </c>
      <c r="AX10" s="534">
        <v>1395</v>
      </c>
      <c r="AY10" s="535" t="s">
        <v>68</v>
      </c>
    </row>
    <row r="11" spans="1:51" ht="25.5" x14ac:dyDescent="0.25">
      <c r="A11" s="938"/>
      <c r="B11" s="941"/>
      <c r="C11" s="960"/>
      <c r="D11" s="333" t="s">
        <v>3</v>
      </c>
      <c r="E11" s="497">
        <v>3660055000</v>
      </c>
      <c r="F11" s="527">
        <v>3660055000</v>
      </c>
      <c r="G11" s="526">
        <v>3660055000</v>
      </c>
      <c r="H11" s="526">
        <v>3660055000</v>
      </c>
      <c r="I11" s="526">
        <v>3660055000</v>
      </c>
      <c r="J11" s="526">
        <v>3660055000</v>
      </c>
      <c r="K11" s="522">
        <v>3660055000</v>
      </c>
      <c r="L11" s="522">
        <v>3660055000</v>
      </c>
      <c r="M11" s="522">
        <f>+[10]INVERSIÓN!DL11</f>
        <v>3660055000</v>
      </c>
      <c r="N11" s="522">
        <v>3660055000</v>
      </c>
      <c r="O11" s="473">
        <v>3660055000</v>
      </c>
      <c r="P11" s="527">
        <v>3676034835</v>
      </c>
      <c r="Q11" s="474">
        <v>3784235855</v>
      </c>
      <c r="R11" s="474">
        <f>+[11]INVERSIÓN!DI11</f>
        <v>3784235855</v>
      </c>
      <c r="S11" s="542"/>
      <c r="T11" s="507">
        <v>1004639000</v>
      </c>
      <c r="U11" s="507">
        <v>2932750000</v>
      </c>
      <c r="V11" s="507">
        <v>3551356000</v>
      </c>
      <c r="W11" s="507">
        <v>3551356000</v>
      </c>
      <c r="X11" s="508">
        <v>3551356000</v>
      </c>
      <c r="Y11" s="523">
        <v>3551356000</v>
      </c>
      <c r="Z11" s="523">
        <f>+[10]INVERSIÓN!DM11</f>
        <v>3586616500</v>
      </c>
      <c r="AA11" s="474">
        <v>3646616500</v>
      </c>
      <c r="AB11" s="474">
        <v>3646616500</v>
      </c>
      <c r="AC11" s="527">
        <v>3646616500</v>
      </c>
      <c r="AD11" s="474">
        <v>3669888533</v>
      </c>
      <c r="AE11" s="474">
        <f>+[11]INVERSIÓN!DK11</f>
        <v>3784066500</v>
      </c>
      <c r="AF11" s="542"/>
      <c r="AG11" s="543"/>
      <c r="AH11" s="532"/>
      <c r="AI11" s="532"/>
      <c r="AJ11" s="530"/>
      <c r="AK11" s="531"/>
      <c r="AL11" s="532"/>
      <c r="AM11" s="532"/>
      <c r="AN11" s="541"/>
      <c r="AO11" s="538"/>
      <c r="AP11" s="538"/>
      <c r="AQ11" s="537"/>
      <c r="AR11" s="529"/>
      <c r="AS11" s="536"/>
      <c r="AT11" s="529"/>
      <c r="AU11" s="529"/>
      <c r="AV11" s="529"/>
      <c r="AW11" s="529"/>
      <c r="AX11" s="534"/>
      <c r="AY11" s="535"/>
    </row>
    <row r="12" spans="1:51" ht="25.5" x14ac:dyDescent="0.25">
      <c r="A12" s="938"/>
      <c r="B12" s="941"/>
      <c r="C12" s="960"/>
      <c r="D12" s="334" t="s">
        <v>41</v>
      </c>
      <c r="E12" s="523">
        <v>571</v>
      </c>
      <c r="F12" s="523">
        <v>571</v>
      </c>
      <c r="G12" s="509">
        <v>571</v>
      </c>
      <c r="H12" s="509">
        <v>571</v>
      </c>
      <c r="I12" s="509">
        <v>571</v>
      </c>
      <c r="J12" s="509">
        <v>571</v>
      </c>
      <c r="K12" s="523">
        <v>571</v>
      </c>
      <c r="L12" s="523">
        <v>571</v>
      </c>
      <c r="M12" s="523">
        <f>+[10]INVERSIÓN!DJ13</f>
        <v>571</v>
      </c>
      <c r="N12" s="523">
        <v>571</v>
      </c>
      <c r="O12" s="523">
        <v>571</v>
      </c>
      <c r="P12" s="523">
        <v>571</v>
      </c>
      <c r="Q12" s="525">
        <v>571</v>
      </c>
      <c r="R12" s="525">
        <f>+[11]INVERSIÓN!DI13</f>
        <v>571</v>
      </c>
      <c r="S12" s="542"/>
      <c r="T12" s="510">
        <v>99</v>
      </c>
      <c r="U12" s="510">
        <v>230</v>
      </c>
      <c r="V12" s="510">
        <v>463</v>
      </c>
      <c r="W12" s="510">
        <v>566</v>
      </c>
      <c r="X12" s="508">
        <v>569</v>
      </c>
      <c r="Y12" s="508">
        <v>571</v>
      </c>
      <c r="Z12" s="523">
        <f>+[10]INVERSIÓN!DM13</f>
        <v>571</v>
      </c>
      <c r="AA12" s="525">
        <v>571</v>
      </c>
      <c r="AB12" s="525">
        <v>571</v>
      </c>
      <c r="AC12" s="523">
        <v>571</v>
      </c>
      <c r="AD12" s="525">
        <v>571</v>
      </c>
      <c r="AE12" s="525">
        <f>+[11]INVERSIÓN!DK13</f>
        <v>571</v>
      </c>
      <c r="AF12" s="542"/>
      <c r="AG12" s="543"/>
      <c r="AH12" s="532"/>
      <c r="AI12" s="532"/>
      <c r="AJ12" s="530"/>
      <c r="AK12" s="531"/>
      <c r="AL12" s="532"/>
      <c r="AM12" s="532"/>
      <c r="AN12" s="541"/>
      <c r="AO12" s="538"/>
      <c r="AP12" s="538"/>
      <c r="AQ12" s="537"/>
      <c r="AR12" s="529"/>
      <c r="AS12" s="536"/>
      <c r="AT12" s="529"/>
      <c r="AU12" s="529"/>
      <c r="AV12" s="529"/>
      <c r="AW12" s="529"/>
      <c r="AX12" s="534"/>
      <c r="AY12" s="535"/>
    </row>
    <row r="13" spans="1:51" ht="25.5" x14ac:dyDescent="0.25">
      <c r="A13" s="938"/>
      <c r="B13" s="941"/>
      <c r="C13" s="960"/>
      <c r="D13" s="333" t="s">
        <v>4</v>
      </c>
      <c r="E13" s="523">
        <v>339887591</v>
      </c>
      <c r="F13" s="523">
        <v>339887591</v>
      </c>
      <c r="G13" s="526">
        <v>339887591</v>
      </c>
      <c r="H13" s="526">
        <v>339887591</v>
      </c>
      <c r="I13" s="526">
        <v>339887591</v>
      </c>
      <c r="J13" s="526">
        <v>339887591</v>
      </c>
      <c r="K13" s="523">
        <v>323844291</v>
      </c>
      <c r="L13" s="523">
        <v>323844291</v>
      </c>
      <c r="M13" s="511">
        <f>+[10]INVERSIÓN!DL14</f>
        <v>323844291</v>
      </c>
      <c r="N13" s="523">
        <v>323844291</v>
      </c>
      <c r="O13" s="523">
        <v>323844291</v>
      </c>
      <c r="P13" s="523">
        <v>323844291</v>
      </c>
      <c r="Q13" s="527">
        <v>323844291</v>
      </c>
      <c r="R13" s="527">
        <f>+[11]INVERSIÓN!DI14</f>
        <v>323844291</v>
      </c>
      <c r="S13" s="542"/>
      <c r="T13" s="507">
        <v>74516636</v>
      </c>
      <c r="U13" s="507">
        <v>184712880</v>
      </c>
      <c r="V13" s="507">
        <v>223217813</v>
      </c>
      <c r="W13" s="507">
        <v>251339792</v>
      </c>
      <c r="X13" s="508">
        <v>260027858</v>
      </c>
      <c r="Y13" s="511">
        <v>265772858</v>
      </c>
      <c r="Z13" s="511">
        <f>+[10]INVERSIÓN!DM14</f>
        <v>265772858</v>
      </c>
      <c r="AA13" s="527">
        <v>272283858</v>
      </c>
      <c r="AB13" s="527">
        <v>272283858</v>
      </c>
      <c r="AC13" s="523">
        <v>272283858</v>
      </c>
      <c r="AD13" s="527">
        <v>272283858</v>
      </c>
      <c r="AE13" s="527">
        <f>+[11]INVERSIÓN!DK14</f>
        <v>272283858</v>
      </c>
      <c r="AF13" s="542"/>
      <c r="AG13" s="543"/>
      <c r="AH13" s="532"/>
      <c r="AI13" s="532"/>
      <c r="AJ13" s="530"/>
      <c r="AK13" s="531"/>
      <c r="AL13" s="532"/>
      <c r="AM13" s="532"/>
      <c r="AN13" s="541"/>
      <c r="AO13" s="538"/>
      <c r="AP13" s="538"/>
      <c r="AQ13" s="537"/>
      <c r="AR13" s="529"/>
      <c r="AS13" s="536"/>
      <c r="AT13" s="529"/>
      <c r="AU13" s="529"/>
      <c r="AV13" s="529"/>
      <c r="AW13" s="529"/>
      <c r="AX13" s="534"/>
      <c r="AY13" s="535"/>
    </row>
    <row r="14" spans="1:51" ht="25.5" x14ac:dyDescent="0.25">
      <c r="A14" s="938"/>
      <c r="B14" s="941"/>
      <c r="C14" s="960"/>
      <c r="D14" s="334" t="s">
        <v>42</v>
      </c>
      <c r="E14" s="523">
        <v>7788</v>
      </c>
      <c r="F14" s="523">
        <v>7788</v>
      </c>
      <c r="G14" s="509">
        <v>7788</v>
      </c>
      <c r="H14" s="509">
        <v>7788</v>
      </c>
      <c r="I14" s="509">
        <v>7788</v>
      </c>
      <c r="J14" s="509">
        <v>7788</v>
      </c>
      <c r="K14" s="523">
        <v>7788</v>
      </c>
      <c r="L14" s="523">
        <v>7788</v>
      </c>
      <c r="M14" s="523">
        <f>+[10]INVERSIÓN!DL15</f>
        <v>7788</v>
      </c>
      <c r="N14" s="523">
        <v>7788</v>
      </c>
      <c r="O14" s="523">
        <v>7788</v>
      </c>
      <c r="P14" s="523">
        <v>7788</v>
      </c>
      <c r="Q14" s="525">
        <v>7788</v>
      </c>
      <c r="R14" s="525">
        <f>+R10+R12</f>
        <v>7788</v>
      </c>
      <c r="S14" s="542"/>
      <c r="T14" s="510">
        <v>99</v>
      </c>
      <c r="U14" s="510">
        <v>277</v>
      </c>
      <c r="V14" s="510">
        <v>877</v>
      </c>
      <c r="W14" s="510">
        <v>2083</v>
      </c>
      <c r="X14" s="508">
        <v>3015</v>
      </c>
      <c r="Y14" s="508">
        <v>3942</v>
      </c>
      <c r="Z14" s="523">
        <f>+[10]INVERSIÓN!DM15</f>
        <v>4784</v>
      </c>
      <c r="AA14" s="525">
        <v>5125</v>
      </c>
      <c r="AB14" s="525">
        <v>5807</v>
      </c>
      <c r="AC14" s="523">
        <v>6507</v>
      </c>
      <c r="AD14" s="525">
        <v>7321</v>
      </c>
      <c r="AE14" s="525">
        <f>+AE10+AE12</f>
        <v>7623</v>
      </c>
      <c r="AF14" s="542"/>
      <c r="AG14" s="543"/>
      <c r="AH14" s="532"/>
      <c r="AI14" s="532"/>
      <c r="AJ14" s="530"/>
      <c r="AK14" s="531"/>
      <c r="AL14" s="532"/>
      <c r="AM14" s="532"/>
      <c r="AN14" s="541"/>
      <c r="AO14" s="538"/>
      <c r="AP14" s="538"/>
      <c r="AQ14" s="537"/>
      <c r="AR14" s="529"/>
      <c r="AS14" s="536"/>
      <c r="AT14" s="529"/>
      <c r="AU14" s="529"/>
      <c r="AV14" s="529"/>
      <c r="AW14" s="529"/>
      <c r="AX14" s="534"/>
      <c r="AY14" s="535"/>
    </row>
    <row r="15" spans="1:51" ht="39.75" customHeight="1" thickBot="1" x14ac:dyDescent="0.3">
      <c r="A15" s="939"/>
      <c r="B15" s="942"/>
      <c r="C15" s="961"/>
      <c r="D15" s="545" t="s">
        <v>44</v>
      </c>
      <c r="E15" s="539">
        <v>3999942591</v>
      </c>
      <c r="F15" s="539">
        <v>3999942591</v>
      </c>
      <c r="G15" s="539">
        <v>3999942591</v>
      </c>
      <c r="H15" s="539">
        <v>3999942591</v>
      </c>
      <c r="I15" s="539">
        <v>3999942591</v>
      </c>
      <c r="J15" s="539">
        <v>3999942591</v>
      </c>
      <c r="K15" s="539">
        <v>3983899291</v>
      </c>
      <c r="L15" s="539">
        <v>3983899291</v>
      </c>
      <c r="M15" s="539">
        <f>+[10]INVERSIÓN!DL16</f>
        <v>3983899291</v>
      </c>
      <c r="N15" s="539">
        <v>3983899291</v>
      </c>
      <c r="O15" s="539">
        <v>3983899291</v>
      </c>
      <c r="P15" s="539">
        <v>3999879126</v>
      </c>
      <c r="Q15" s="533">
        <v>4108080146</v>
      </c>
      <c r="R15" s="533">
        <f>+R11+R13</f>
        <v>4108080146</v>
      </c>
      <c r="S15" s="542"/>
      <c r="T15" s="539">
        <v>1079155636</v>
      </c>
      <c r="U15" s="539">
        <v>3117462880</v>
      </c>
      <c r="V15" s="539">
        <v>3774573813</v>
      </c>
      <c r="W15" s="539">
        <v>3802695792</v>
      </c>
      <c r="X15" s="540">
        <v>3817128858</v>
      </c>
      <c r="Y15" s="544">
        <v>3817128858</v>
      </c>
      <c r="Z15" s="544">
        <f>+[10]INVERSIÓN!DM16</f>
        <v>3852389358</v>
      </c>
      <c r="AA15" s="533">
        <v>3918900358</v>
      </c>
      <c r="AB15" s="533">
        <v>3918900358</v>
      </c>
      <c r="AC15" s="539">
        <v>3918900358</v>
      </c>
      <c r="AD15" s="533">
        <v>3942172391</v>
      </c>
      <c r="AE15" s="533">
        <f>+AE11+AE13</f>
        <v>4056350358</v>
      </c>
      <c r="AF15" s="542"/>
      <c r="AG15" s="543"/>
      <c r="AH15" s="532"/>
      <c r="AI15" s="532"/>
      <c r="AJ15" s="530"/>
      <c r="AK15" s="531"/>
      <c r="AL15" s="532"/>
      <c r="AM15" s="532"/>
      <c r="AN15" s="541"/>
      <c r="AO15" s="538"/>
      <c r="AP15" s="538"/>
      <c r="AQ15" s="537"/>
      <c r="AR15" s="529"/>
      <c r="AS15" s="536"/>
      <c r="AT15" s="529"/>
      <c r="AU15" s="529"/>
      <c r="AV15" s="529"/>
      <c r="AW15" s="529"/>
      <c r="AX15" s="534"/>
      <c r="AY15" s="535"/>
    </row>
    <row r="16" spans="1:51" ht="25.5" customHeight="1" x14ac:dyDescent="0.25">
      <c r="A16" s="937">
        <v>2</v>
      </c>
      <c r="B16" s="940" t="s">
        <v>291</v>
      </c>
      <c r="C16" s="943" t="s">
        <v>306</v>
      </c>
      <c r="D16" s="332" t="s">
        <v>40</v>
      </c>
      <c r="E16" s="509">
        <v>36</v>
      </c>
      <c r="F16" s="509">
        <v>36</v>
      </c>
      <c r="G16" s="509">
        <v>36</v>
      </c>
      <c r="H16" s="509">
        <v>36</v>
      </c>
      <c r="I16" s="509">
        <v>36</v>
      </c>
      <c r="J16" s="509">
        <v>36</v>
      </c>
      <c r="K16" s="523">
        <v>36</v>
      </c>
      <c r="L16" s="523">
        <v>36</v>
      </c>
      <c r="M16" s="523">
        <f>+[10]INVERSIÓN!DL17</f>
        <v>36</v>
      </c>
      <c r="N16" s="509">
        <v>36</v>
      </c>
      <c r="O16" s="509">
        <v>36</v>
      </c>
      <c r="P16" s="509">
        <v>36</v>
      </c>
      <c r="Q16" s="512">
        <v>36</v>
      </c>
      <c r="R16" s="512">
        <f>+[11]INVERSIÓN!DI17</f>
        <v>36</v>
      </c>
      <c r="S16" s="551"/>
      <c r="T16" s="510">
        <v>0</v>
      </c>
      <c r="U16" s="510">
        <v>1.33</v>
      </c>
      <c r="V16" s="510">
        <v>2.5499999999999998</v>
      </c>
      <c r="W16" s="510">
        <v>6.04</v>
      </c>
      <c r="X16" s="510">
        <v>9.66</v>
      </c>
      <c r="Y16" s="510">
        <v>13.530000000000001</v>
      </c>
      <c r="Z16" s="510">
        <f>+[10]INVERSIÓN!DM17</f>
        <v>17.400000000000002</v>
      </c>
      <c r="AA16" s="512">
        <v>21.270000000000003</v>
      </c>
      <c r="AB16" s="512">
        <v>25.140000000000004</v>
      </c>
      <c r="AC16" s="509">
        <v>29.010000000000005</v>
      </c>
      <c r="AD16" s="512">
        <v>32.880000000000003</v>
      </c>
      <c r="AE16" s="512">
        <f>+[11]INVERSIÓN!DK17</f>
        <v>36</v>
      </c>
      <c r="AF16" s="560"/>
      <c r="AG16" s="549" t="s">
        <v>301</v>
      </c>
      <c r="AH16" s="548" t="s">
        <v>68</v>
      </c>
      <c r="AI16" s="548" t="s">
        <v>68</v>
      </c>
      <c r="AJ16" s="553" t="s">
        <v>68</v>
      </c>
      <c r="AK16" s="554" t="s">
        <v>436</v>
      </c>
      <c r="AL16" s="548" t="s">
        <v>68</v>
      </c>
      <c r="AM16" s="548" t="s">
        <v>68</v>
      </c>
      <c r="AN16" s="557">
        <v>1395</v>
      </c>
      <c r="AO16" s="558">
        <v>564</v>
      </c>
      <c r="AP16" s="558">
        <v>695</v>
      </c>
      <c r="AQ16" s="559"/>
      <c r="AR16" s="556" t="s">
        <v>302</v>
      </c>
      <c r="AS16" s="563" t="s">
        <v>303</v>
      </c>
      <c r="AT16" s="556" t="s">
        <v>304</v>
      </c>
      <c r="AU16" s="556" t="s">
        <v>305</v>
      </c>
      <c r="AV16" s="556" t="s">
        <v>68</v>
      </c>
      <c r="AW16" s="556" t="s">
        <v>68</v>
      </c>
      <c r="AX16" s="565">
        <v>1395</v>
      </c>
      <c r="AY16" s="562" t="s">
        <v>68</v>
      </c>
    </row>
    <row r="17" spans="1:51" ht="25.5" x14ac:dyDescent="0.25">
      <c r="A17" s="938"/>
      <c r="B17" s="941"/>
      <c r="C17" s="944"/>
      <c r="D17" s="333" t="s">
        <v>3</v>
      </c>
      <c r="E17" s="497">
        <v>194718000</v>
      </c>
      <c r="F17" s="497">
        <v>194718000</v>
      </c>
      <c r="G17" s="526">
        <v>194718000</v>
      </c>
      <c r="H17" s="526">
        <v>194718000</v>
      </c>
      <c r="I17" s="526">
        <v>194718000</v>
      </c>
      <c r="J17" s="526">
        <v>194718000</v>
      </c>
      <c r="K17" s="522">
        <v>194718000</v>
      </c>
      <c r="L17" s="522">
        <v>194718000</v>
      </c>
      <c r="M17" s="522">
        <f>+[10]INVERSIÓN!DL18</f>
        <v>194718000</v>
      </c>
      <c r="N17" s="473">
        <v>194718000</v>
      </c>
      <c r="O17" s="473">
        <v>194718000</v>
      </c>
      <c r="P17" s="497">
        <v>185106165</v>
      </c>
      <c r="Q17" s="474">
        <v>185106165</v>
      </c>
      <c r="R17" s="474">
        <f>+[11]INVERSIÓN!DI18</f>
        <v>185106165</v>
      </c>
      <c r="S17" s="551"/>
      <c r="T17" s="507">
        <v>54837000</v>
      </c>
      <c r="U17" s="507">
        <v>73116000</v>
      </c>
      <c r="V17" s="507">
        <v>176268000</v>
      </c>
      <c r="W17" s="507">
        <v>176268000</v>
      </c>
      <c r="X17" s="507">
        <v>176268000</v>
      </c>
      <c r="Y17" s="523">
        <v>176268000</v>
      </c>
      <c r="Z17" s="523">
        <f>+[10]INVERSIÓN!DM18</f>
        <v>176268000</v>
      </c>
      <c r="AA17" s="474">
        <v>176268000</v>
      </c>
      <c r="AB17" s="474">
        <v>176268000</v>
      </c>
      <c r="AC17" s="497">
        <v>181850665</v>
      </c>
      <c r="AD17" s="474">
        <v>185106165</v>
      </c>
      <c r="AE17" s="474">
        <f>+[11]INVERSIÓN!DK18</f>
        <v>185106165</v>
      </c>
      <c r="AF17" s="560"/>
      <c r="AG17" s="549"/>
      <c r="AH17" s="548"/>
      <c r="AI17" s="548"/>
      <c r="AJ17" s="553"/>
      <c r="AK17" s="554"/>
      <c r="AL17" s="548"/>
      <c r="AM17" s="548"/>
      <c r="AN17" s="548"/>
      <c r="AO17" s="558"/>
      <c r="AP17" s="558"/>
      <c r="AQ17" s="559"/>
      <c r="AR17" s="556"/>
      <c r="AS17" s="564"/>
      <c r="AT17" s="556"/>
      <c r="AU17" s="556"/>
      <c r="AV17" s="556"/>
      <c r="AW17" s="556"/>
      <c r="AX17" s="554"/>
      <c r="AY17" s="562"/>
    </row>
    <row r="18" spans="1:51" ht="25.5" x14ac:dyDescent="0.25">
      <c r="A18" s="938"/>
      <c r="B18" s="941"/>
      <c r="C18" s="944"/>
      <c r="D18" s="334" t="s">
        <v>41</v>
      </c>
      <c r="E18" s="523">
        <v>0</v>
      </c>
      <c r="F18" s="523">
        <v>0</v>
      </c>
      <c r="G18" s="509">
        <v>0</v>
      </c>
      <c r="H18" s="509">
        <v>0</v>
      </c>
      <c r="I18" s="509">
        <v>0</v>
      </c>
      <c r="J18" s="509">
        <v>0</v>
      </c>
      <c r="K18" s="523">
        <v>0</v>
      </c>
      <c r="L18" s="523">
        <v>0</v>
      </c>
      <c r="M18" s="523">
        <f>+[10]INVERSIÓN!DL20</f>
        <v>0</v>
      </c>
      <c r="N18" s="523">
        <v>0</v>
      </c>
      <c r="O18" s="523">
        <v>0</v>
      </c>
      <c r="P18" s="523">
        <v>0</v>
      </c>
      <c r="Q18" s="525">
        <v>0</v>
      </c>
      <c r="R18" s="525">
        <f>+[11]INVERSIÓN!DI20</f>
        <v>0</v>
      </c>
      <c r="S18" s="551"/>
      <c r="T18" s="510">
        <v>0</v>
      </c>
      <c r="U18" s="510">
        <v>0</v>
      </c>
      <c r="V18" s="510">
        <v>0</v>
      </c>
      <c r="W18" s="510">
        <v>0</v>
      </c>
      <c r="X18" s="508">
        <v>0</v>
      </c>
      <c r="Y18" s="508">
        <v>0</v>
      </c>
      <c r="Z18" s="523">
        <f>+[10]INVERSIÓN!DM20</f>
        <v>0</v>
      </c>
      <c r="AA18" s="525">
        <v>0</v>
      </c>
      <c r="AB18" s="525">
        <v>0</v>
      </c>
      <c r="AC18" s="523">
        <v>0</v>
      </c>
      <c r="AD18" s="525">
        <v>0</v>
      </c>
      <c r="AE18" s="525">
        <f>+[11]INVERSIÓN!DK20</f>
        <v>0</v>
      </c>
      <c r="AF18" s="560"/>
      <c r="AG18" s="549"/>
      <c r="AH18" s="548"/>
      <c r="AI18" s="548"/>
      <c r="AJ18" s="553"/>
      <c r="AK18" s="554"/>
      <c r="AL18" s="548"/>
      <c r="AM18" s="548"/>
      <c r="AN18" s="548"/>
      <c r="AO18" s="558"/>
      <c r="AP18" s="558"/>
      <c r="AQ18" s="559"/>
      <c r="AR18" s="556"/>
      <c r="AS18" s="564"/>
      <c r="AT18" s="556"/>
      <c r="AU18" s="556"/>
      <c r="AV18" s="556"/>
      <c r="AW18" s="556"/>
      <c r="AX18" s="554"/>
      <c r="AY18" s="562"/>
    </row>
    <row r="19" spans="1:51" ht="25.5" x14ac:dyDescent="0.25">
      <c r="A19" s="938"/>
      <c r="B19" s="941"/>
      <c r="C19" s="944"/>
      <c r="D19" s="333" t="s">
        <v>4</v>
      </c>
      <c r="E19" s="522">
        <v>2282500</v>
      </c>
      <c r="F19" s="522">
        <v>2282500</v>
      </c>
      <c r="G19" s="526">
        <v>2282500</v>
      </c>
      <c r="H19" s="526">
        <v>2282500</v>
      </c>
      <c r="I19" s="526">
        <v>2282500</v>
      </c>
      <c r="J19" s="526">
        <v>2282500</v>
      </c>
      <c r="K19" s="522">
        <v>2282500</v>
      </c>
      <c r="L19" s="522">
        <v>2282500</v>
      </c>
      <c r="M19" s="522">
        <f>+[10]INVERSIÓN!DL21</f>
        <v>2282500</v>
      </c>
      <c r="N19" s="522">
        <v>2282500</v>
      </c>
      <c r="O19" s="522">
        <v>2282500</v>
      </c>
      <c r="P19" s="522">
        <v>2282500</v>
      </c>
      <c r="Q19" s="527">
        <v>2282500</v>
      </c>
      <c r="R19" s="527">
        <f>+[11]INVERSIÓN!DI21</f>
        <v>2282500</v>
      </c>
      <c r="S19" s="551"/>
      <c r="T19" s="507">
        <v>1083200</v>
      </c>
      <c r="U19" s="507">
        <v>1963300</v>
      </c>
      <c r="V19" s="507">
        <v>1963300</v>
      </c>
      <c r="W19" s="507">
        <v>1963300</v>
      </c>
      <c r="X19" s="513">
        <v>1963300</v>
      </c>
      <c r="Y19" s="513">
        <v>1963300</v>
      </c>
      <c r="Z19" s="511">
        <f>+[10]INVERSIÓN!DM21</f>
        <v>1963300</v>
      </c>
      <c r="AA19" s="527">
        <v>1963300</v>
      </c>
      <c r="AB19" s="527">
        <v>1963300</v>
      </c>
      <c r="AC19" s="522">
        <v>1963300</v>
      </c>
      <c r="AD19" s="527">
        <v>1963300</v>
      </c>
      <c r="AE19" s="527">
        <f>+[11]INVERSIÓN!DK21</f>
        <v>1963300</v>
      </c>
      <c r="AF19" s="560"/>
      <c r="AG19" s="549"/>
      <c r="AH19" s="548"/>
      <c r="AI19" s="548"/>
      <c r="AJ19" s="553"/>
      <c r="AK19" s="554"/>
      <c r="AL19" s="548"/>
      <c r="AM19" s="548"/>
      <c r="AN19" s="548"/>
      <c r="AO19" s="558"/>
      <c r="AP19" s="558"/>
      <c r="AQ19" s="559"/>
      <c r="AR19" s="556"/>
      <c r="AS19" s="564"/>
      <c r="AT19" s="556"/>
      <c r="AU19" s="556"/>
      <c r="AV19" s="556"/>
      <c r="AW19" s="556"/>
      <c r="AX19" s="554"/>
      <c r="AY19" s="562"/>
    </row>
    <row r="20" spans="1:51" ht="25.5" x14ac:dyDescent="0.25">
      <c r="A20" s="938"/>
      <c r="B20" s="941"/>
      <c r="C20" s="944"/>
      <c r="D20" s="334" t="s">
        <v>42</v>
      </c>
      <c r="E20" s="523">
        <v>36</v>
      </c>
      <c r="F20" s="523">
        <v>36</v>
      </c>
      <c r="G20" s="509">
        <v>36</v>
      </c>
      <c r="H20" s="509">
        <v>36</v>
      </c>
      <c r="I20" s="509">
        <v>36</v>
      </c>
      <c r="J20" s="509">
        <v>36</v>
      </c>
      <c r="K20" s="523">
        <v>36</v>
      </c>
      <c r="L20" s="523">
        <v>36</v>
      </c>
      <c r="M20" s="523">
        <f>+[10]INVERSIÓN!DL22</f>
        <v>36</v>
      </c>
      <c r="N20" s="523">
        <v>36</v>
      </c>
      <c r="O20" s="523">
        <v>36</v>
      </c>
      <c r="P20" s="523">
        <v>36</v>
      </c>
      <c r="Q20" s="525">
        <v>36</v>
      </c>
      <c r="R20" s="525">
        <f>+R16+R18</f>
        <v>36</v>
      </c>
      <c r="S20" s="551"/>
      <c r="T20" s="510">
        <v>0</v>
      </c>
      <c r="U20" s="510">
        <v>1.33</v>
      </c>
      <c r="V20" s="510">
        <v>2.5499999999999998</v>
      </c>
      <c r="W20" s="510">
        <v>6.04</v>
      </c>
      <c r="X20" s="514">
        <v>9.66</v>
      </c>
      <c r="Y20" s="514">
        <v>13.530000000000001</v>
      </c>
      <c r="Z20" s="511">
        <f>+[10]INVERSIÓN!DM22</f>
        <v>17.400000000000002</v>
      </c>
      <c r="AA20" s="525">
        <v>21.270000000000003</v>
      </c>
      <c r="AB20" s="525">
        <v>25.140000000000004</v>
      </c>
      <c r="AC20" s="523">
        <v>29.010000000000005</v>
      </c>
      <c r="AD20" s="525">
        <v>32.880000000000003</v>
      </c>
      <c r="AE20" s="525">
        <f>+AE16+AE18</f>
        <v>36</v>
      </c>
      <c r="AF20" s="560"/>
      <c r="AG20" s="549"/>
      <c r="AH20" s="548"/>
      <c r="AI20" s="548"/>
      <c r="AJ20" s="553"/>
      <c r="AK20" s="554"/>
      <c r="AL20" s="548"/>
      <c r="AM20" s="548"/>
      <c r="AN20" s="548"/>
      <c r="AO20" s="558"/>
      <c r="AP20" s="558"/>
      <c r="AQ20" s="559"/>
      <c r="AR20" s="556"/>
      <c r="AS20" s="564"/>
      <c r="AT20" s="556"/>
      <c r="AU20" s="556"/>
      <c r="AV20" s="556"/>
      <c r="AW20" s="556"/>
      <c r="AX20" s="554"/>
      <c r="AY20" s="562"/>
    </row>
    <row r="21" spans="1:51" ht="45" customHeight="1" thickBot="1" x14ac:dyDescent="0.3">
      <c r="A21" s="939"/>
      <c r="B21" s="942"/>
      <c r="C21" s="945"/>
      <c r="D21" s="555" t="s">
        <v>44</v>
      </c>
      <c r="E21" s="546">
        <v>197000500</v>
      </c>
      <c r="F21" s="546">
        <v>197000500</v>
      </c>
      <c r="G21" s="550">
        <v>197000500</v>
      </c>
      <c r="H21" s="550">
        <v>197000500</v>
      </c>
      <c r="I21" s="550">
        <v>197000500</v>
      </c>
      <c r="J21" s="550">
        <v>197000500</v>
      </c>
      <c r="K21" s="550">
        <v>197000500</v>
      </c>
      <c r="L21" s="550">
        <v>197000500</v>
      </c>
      <c r="M21" s="546">
        <f>+[10]INVERSIÓN!DL23</f>
        <v>197000500</v>
      </c>
      <c r="N21" s="546">
        <v>197000500</v>
      </c>
      <c r="O21" s="546">
        <v>197000500</v>
      </c>
      <c r="P21" s="546">
        <v>187388665</v>
      </c>
      <c r="Q21" s="552">
        <v>187388665</v>
      </c>
      <c r="R21" s="552">
        <f>+R17+R19</f>
        <v>187388665</v>
      </c>
      <c r="S21" s="551"/>
      <c r="T21" s="546">
        <v>55920200</v>
      </c>
      <c r="U21" s="546">
        <v>75079300</v>
      </c>
      <c r="V21" s="546">
        <v>178231300</v>
      </c>
      <c r="W21" s="546">
        <v>178231300</v>
      </c>
      <c r="X21" s="547">
        <v>178231300</v>
      </c>
      <c r="Y21" s="547">
        <v>178231300</v>
      </c>
      <c r="Z21" s="561">
        <f>+[10]INVERSIÓN!DM23</f>
        <v>178231300</v>
      </c>
      <c r="AA21" s="552">
        <v>178231300</v>
      </c>
      <c r="AB21" s="552">
        <v>178231300</v>
      </c>
      <c r="AC21" s="546">
        <v>183813965</v>
      </c>
      <c r="AD21" s="552">
        <v>187069465</v>
      </c>
      <c r="AE21" s="552">
        <f>+AE17+AE19</f>
        <v>187069465</v>
      </c>
      <c r="AF21" s="560"/>
      <c r="AG21" s="549"/>
      <c r="AH21" s="548"/>
      <c r="AI21" s="548"/>
      <c r="AJ21" s="553"/>
      <c r="AK21" s="554"/>
      <c r="AL21" s="548"/>
      <c r="AM21" s="548"/>
      <c r="AN21" s="548"/>
      <c r="AO21" s="558"/>
      <c r="AP21" s="558"/>
      <c r="AQ21" s="559"/>
      <c r="AR21" s="556"/>
      <c r="AS21" s="564"/>
      <c r="AT21" s="556"/>
      <c r="AU21" s="556"/>
      <c r="AV21" s="556"/>
      <c r="AW21" s="556"/>
      <c r="AX21" s="554"/>
      <c r="AY21" s="562"/>
    </row>
    <row r="22" spans="1:51" ht="25.5" customHeight="1" x14ac:dyDescent="0.25">
      <c r="A22" s="937">
        <v>3</v>
      </c>
      <c r="B22" s="940" t="s">
        <v>292</v>
      </c>
      <c r="C22" s="943" t="s">
        <v>307</v>
      </c>
      <c r="D22" s="332" t="s">
        <v>40</v>
      </c>
      <c r="E22" s="509">
        <v>27</v>
      </c>
      <c r="F22" s="509">
        <v>27</v>
      </c>
      <c r="G22" s="509">
        <v>27.000000000000011</v>
      </c>
      <c r="H22" s="509">
        <v>27.000000000000011</v>
      </c>
      <c r="I22" s="509">
        <v>27</v>
      </c>
      <c r="J22" s="509">
        <v>27</v>
      </c>
      <c r="K22" s="509">
        <v>27</v>
      </c>
      <c r="L22" s="509">
        <v>27</v>
      </c>
      <c r="M22" s="523">
        <f>+[10]INVERSIÓN!DL24</f>
        <v>27</v>
      </c>
      <c r="N22" s="509">
        <v>27</v>
      </c>
      <c r="O22" s="515">
        <v>27</v>
      </c>
      <c r="P22" s="509">
        <v>27</v>
      </c>
      <c r="Q22" s="516">
        <v>27</v>
      </c>
      <c r="R22" s="516">
        <f>+[11]INVERSIÓN!DI24</f>
        <v>27</v>
      </c>
      <c r="S22" s="560"/>
      <c r="T22" s="510">
        <v>0</v>
      </c>
      <c r="U22" s="510">
        <v>2.7</v>
      </c>
      <c r="V22" s="510">
        <v>6.62</v>
      </c>
      <c r="W22" s="510">
        <v>11.89</v>
      </c>
      <c r="X22" s="510">
        <v>17.16</v>
      </c>
      <c r="Y22" s="510">
        <v>18.38</v>
      </c>
      <c r="Z22" s="510">
        <f>+[10]INVERSIÓN!DM24</f>
        <v>19.599999999999998</v>
      </c>
      <c r="AA22" s="516">
        <v>20.819999999999997</v>
      </c>
      <c r="AB22" s="516">
        <v>22.439999999999998</v>
      </c>
      <c r="AC22" s="509">
        <v>24.06</v>
      </c>
      <c r="AD22" s="516">
        <v>25.68</v>
      </c>
      <c r="AE22" s="516">
        <f>+[11]INVERSIÓN!DK24</f>
        <v>27</v>
      </c>
      <c r="AF22" s="560"/>
      <c r="AG22" s="549" t="s">
        <v>301</v>
      </c>
      <c r="AH22" s="548" t="s">
        <v>68</v>
      </c>
      <c r="AI22" s="548" t="s">
        <v>68</v>
      </c>
      <c r="AJ22" s="553" t="s">
        <v>68</v>
      </c>
      <c r="AK22" s="554" t="s">
        <v>436</v>
      </c>
      <c r="AL22" s="548" t="s">
        <v>68</v>
      </c>
      <c r="AM22" s="548" t="s">
        <v>68</v>
      </c>
      <c r="AN22" s="557">
        <v>1395</v>
      </c>
      <c r="AO22" s="558">
        <v>564</v>
      </c>
      <c r="AP22" s="558">
        <v>695</v>
      </c>
      <c r="AQ22" s="559"/>
      <c r="AR22" s="556" t="s">
        <v>302</v>
      </c>
      <c r="AS22" s="563" t="s">
        <v>303</v>
      </c>
      <c r="AT22" s="556" t="s">
        <v>304</v>
      </c>
      <c r="AU22" s="556" t="s">
        <v>305</v>
      </c>
      <c r="AV22" s="556" t="s">
        <v>68</v>
      </c>
      <c r="AW22" s="556" t="s">
        <v>68</v>
      </c>
      <c r="AX22" s="565">
        <v>1395</v>
      </c>
      <c r="AY22" s="562" t="s">
        <v>68</v>
      </c>
    </row>
    <row r="23" spans="1:51" ht="25.5" x14ac:dyDescent="0.25">
      <c r="A23" s="938"/>
      <c r="B23" s="941"/>
      <c r="C23" s="944"/>
      <c r="D23" s="333" t="s">
        <v>3</v>
      </c>
      <c r="E23" s="526">
        <v>551323000</v>
      </c>
      <c r="F23" s="526">
        <v>551323000</v>
      </c>
      <c r="G23" s="526">
        <v>551323000</v>
      </c>
      <c r="H23" s="526">
        <v>551323000</v>
      </c>
      <c r="I23" s="526">
        <v>551323000</v>
      </c>
      <c r="J23" s="526">
        <v>551323000</v>
      </c>
      <c r="K23" s="526">
        <v>551323000</v>
      </c>
      <c r="L23" s="526">
        <v>551323000</v>
      </c>
      <c r="M23" s="522">
        <f>+[10]INVERSIÓN!DL25</f>
        <v>551323000</v>
      </c>
      <c r="N23" s="526">
        <v>551323000</v>
      </c>
      <c r="O23" s="473">
        <v>551323000</v>
      </c>
      <c r="P23" s="526">
        <v>544955000</v>
      </c>
      <c r="Q23" s="474">
        <v>607396700</v>
      </c>
      <c r="R23" s="474">
        <f>+[11]INVERSIÓN!DI25</f>
        <v>607396700</v>
      </c>
      <c r="S23" s="560"/>
      <c r="T23" s="507">
        <v>103640000</v>
      </c>
      <c r="U23" s="507">
        <v>484579000</v>
      </c>
      <c r="V23" s="507">
        <v>530281000</v>
      </c>
      <c r="W23" s="507">
        <v>530281000</v>
      </c>
      <c r="X23" s="507">
        <v>530281000</v>
      </c>
      <c r="Y23" s="507">
        <v>530281000</v>
      </c>
      <c r="Z23" s="523">
        <f>+[10]INVERSIÓN!DK25</f>
        <v>530281000</v>
      </c>
      <c r="AA23" s="474">
        <v>530281000</v>
      </c>
      <c r="AB23" s="474">
        <v>530281000</v>
      </c>
      <c r="AC23" s="526">
        <v>530281000</v>
      </c>
      <c r="AD23" s="474">
        <v>558101500</v>
      </c>
      <c r="AE23" s="474">
        <f>+[11]INVERSIÓN!DK25</f>
        <v>607396700</v>
      </c>
      <c r="AF23" s="560"/>
      <c r="AG23" s="549"/>
      <c r="AH23" s="548"/>
      <c r="AI23" s="548"/>
      <c r="AJ23" s="553"/>
      <c r="AK23" s="554"/>
      <c r="AL23" s="548"/>
      <c r="AM23" s="548"/>
      <c r="AN23" s="548"/>
      <c r="AO23" s="558"/>
      <c r="AP23" s="558"/>
      <c r="AQ23" s="559"/>
      <c r="AR23" s="556"/>
      <c r="AS23" s="564"/>
      <c r="AT23" s="556"/>
      <c r="AU23" s="556"/>
      <c r="AV23" s="556"/>
      <c r="AW23" s="556"/>
      <c r="AX23" s="554"/>
      <c r="AY23" s="562"/>
    </row>
    <row r="24" spans="1:51" ht="25.5" x14ac:dyDescent="0.25">
      <c r="A24" s="938"/>
      <c r="B24" s="941"/>
      <c r="C24" s="944"/>
      <c r="D24" s="334" t="s">
        <v>41</v>
      </c>
      <c r="E24" s="523">
        <v>0</v>
      </c>
      <c r="F24" s="523">
        <v>0</v>
      </c>
      <c r="G24" s="509">
        <v>0</v>
      </c>
      <c r="H24" s="509">
        <v>0</v>
      </c>
      <c r="I24" s="509">
        <v>0</v>
      </c>
      <c r="J24" s="509">
        <v>0</v>
      </c>
      <c r="K24" s="509">
        <v>0</v>
      </c>
      <c r="L24" s="509">
        <v>0</v>
      </c>
      <c r="M24" s="523">
        <f>+[10]INVERSIÓN!DL27</f>
        <v>0</v>
      </c>
      <c r="N24" s="523">
        <v>0</v>
      </c>
      <c r="O24" s="517">
        <v>0</v>
      </c>
      <c r="P24" s="523">
        <v>0</v>
      </c>
      <c r="Q24" s="518">
        <v>0</v>
      </c>
      <c r="R24" s="518">
        <f>+[11]INVERSIÓN!DI27</f>
        <v>0</v>
      </c>
      <c r="S24" s="560"/>
      <c r="T24" s="510">
        <v>0</v>
      </c>
      <c r="U24" s="510">
        <v>0</v>
      </c>
      <c r="V24" s="510">
        <v>0</v>
      </c>
      <c r="W24" s="510">
        <v>0</v>
      </c>
      <c r="X24" s="508">
        <v>0</v>
      </c>
      <c r="Y24" s="508">
        <v>0</v>
      </c>
      <c r="Z24" s="523">
        <f>+[10]INVERSIÓN!DK27</f>
        <v>0</v>
      </c>
      <c r="AA24" s="518">
        <v>0</v>
      </c>
      <c r="AB24" s="518">
        <v>0</v>
      </c>
      <c r="AC24" s="523">
        <v>0</v>
      </c>
      <c r="AD24" s="518">
        <v>0</v>
      </c>
      <c r="AE24" s="518">
        <f>+[11]INVERSIÓN!DK27</f>
        <v>0</v>
      </c>
      <c r="AF24" s="560"/>
      <c r="AG24" s="549"/>
      <c r="AH24" s="548"/>
      <c r="AI24" s="548"/>
      <c r="AJ24" s="553"/>
      <c r="AK24" s="554"/>
      <c r="AL24" s="548"/>
      <c r="AM24" s="548"/>
      <c r="AN24" s="548"/>
      <c r="AO24" s="558"/>
      <c r="AP24" s="558"/>
      <c r="AQ24" s="559"/>
      <c r="AR24" s="556"/>
      <c r="AS24" s="564"/>
      <c r="AT24" s="556"/>
      <c r="AU24" s="556"/>
      <c r="AV24" s="556"/>
      <c r="AW24" s="556"/>
      <c r="AX24" s="554"/>
      <c r="AY24" s="562"/>
    </row>
    <row r="25" spans="1:51" ht="25.5" x14ac:dyDescent="0.25">
      <c r="A25" s="938"/>
      <c r="B25" s="941"/>
      <c r="C25" s="944"/>
      <c r="D25" s="333" t="s">
        <v>4</v>
      </c>
      <c r="E25" s="522">
        <v>37170366</v>
      </c>
      <c r="F25" s="522">
        <v>37170366</v>
      </c>
      <c r="G25" s="526">
        <v>37170366</v>
      </c>
      <c r="H25" s="526">
        <v>37170366</v>
      </c>
      <c r="I25" s="526">
        <v>37170366</v>
      </c>
      <c r="J25" s="526">
        <v>37170366</v>
      </c>
      <c r="K25" s="526">
        <v>37170366</v>
      </c>
      <c r="L25" s="526">
        <v>37170366</v>
      </c>
      <c r="M25" s="522">
        <f>+[10]INVERSIÓN!DL28</f>
        <v>37170366</v>
      </c>
      <c r="N25" s="522">
        <v>37170366</v>
      </c>
      <c r="O25" s="524">
        <v>37170366</v>
      </c>
      <c r="P25" s="522">
        <v>37170366</v>
      </c>
      <c r="Q25" s="521">
        <v>37170366</v>
      </c>
      <c r="R25" s="521">
        <f>+[11]INVERSIÓN!DI28</f>
        <v>37170366</v>
      </c>
      <c r="S25" s="560"/>
      <c r="T25" s="507">
        <v>12519000</v>
      </c>
      <c r="U25" s="507">
        <v>37170366</v>
      </c>
      <c r="V25" s="507">
        <v>37170366</v>
      </c>
      <c r="W25" s="507">
        <v>37170366</v>
      </c>
      <c r="X25" s="507">
        <v>37170366</v>
      </c>
      <c r="Y25" s="507">
        <v>37170366</v>
      </c>
      <c r="Z25" s="511">
        <f>+[10]INVERSIÓN!DK28</f>
        <v>37170366</v>
      </c>
      <c r="AA25" s="521">
        <v>37170366</v>
      </c>
      <c r="AB25" s="521">
        <v>37170366</v>
      </c>
      <c r="AC25" s="522">
        <v>37170366</v>
      </c>
      <c r="AD25" s="521">
        <v>37170366</v>
      </c>
      <c r="AE25" s="521">
        <f>+[11]INVERSIÓN!DK28</f>
        <v>37170366</v>
      </c>
      <c r="AF25" s="560"/>
      <c r="AG25" s="549"/>
      <c r="AH25" s="548"/>
      <c r="AI25" s="548"/>
      <c r="AJ25" s="553"/>
      <c r="AK25" s="554"/>
      <c r="AL25" s="548"/>
      <c r="AM25" s="548"/>
      <c r="AN25" s="548"/>
      <c r="AO25" s="558"/>
      <c r="AP25" s="558"/>
      <c r="AQ25" s="559"/>
      <c r="AR25" s="556"/>
      <c r="AS25" s="564"/>
      <c r="AT25" s="556"/>
      <c r="AU25" s="556"/>
      <c r="AV25" s="556"/>
      <c r="AW25" s="556"/>
      <c r="AX25" s="554"/>
      <c r="AY25" s="562"/>
    </row>
    <row r="26" spans="1:51" ht="25.5" x14ac:dyDescent="0.25">
      <c r="A26" s="938"/>
      <c r="B26" s="941"/>
      <c r="C26" s="944"/>
      <c r="D26" s="334" t="s">
        <v>42</v>
      </c>
      <c r="E26" s="523">
        <v>27</v>
      </c>
      <c r="F26" s="523">
        <v>27</v>
      </c>
      <c r="G26" s="509">
        <v>27.000000000000011</v>
      </c>
      <c r="H26" s="509">
        <v>27.000000000000011</v>
      </c>
      <c r="I26" s="509">
        <v>27</v>
      </c>
      <c r="J26" s="509">
        <v>27</v>
      </c>
      <c r="K26" s="509">
        <v>27</v>
      </c>
      <c r="L26" s="509">
        <v>27</v>
      </c>
      <c r="M26" s="523">
        <f>+[10]INVERSIÓN!DL29</f>
        <v>27</v>
      </c>
      <c r="N26" s="523">
        <v>27</v>
      </c>
      <c r="O26" s="517">
        <v>27</v>
      </c>
      <c r="P26" s="523">
        <v>27</v>
      </c>
      <c r="Q26" s="518">
        <v>27</v>
      </c>
      <c r="R26" s="518">
        <f>+R22+R24</f>
        <v>27</v>
      </c>
      <c r="S26" s="560"/>
      <c r="T26" s="510">
        <v>0</v>
      </c>
      <c r="U26" s="510">
        <v>2.7</v>
      </c>
      <c r="V26" s="510">
        <v>6.62</v>
      </c>
      <c r="W26" s="510">
        <v>11.89</v>
      </c>
      <c r="X26" s="510">
        <v>17.16</v>
      </c>
      <c r="Y26" s="510">
        <v>18.38</v>
      </c>
      <c r="Z26" s="511">
        <f>+[10]INVERSIÓN!DK29</f>
        <v>19.599999999999998</v>
      </c>
      <c r="AA26" s="518">
        <v>20.819999999999997</v>
      </c>
      <c r="AB26" s="518">
        <v>22.439999999999998</v>
      </c>
      <c r="AC26" s="523">
        <v>24.06</v>
      </c>
      <c r="AD26" s="518">
        <v>25.68</v>
      </c>
      <c r="AE26" s="518">
        <f>+AE22+AE24</f>
        <v>27</v>
      </c>
      <c r="AF26" s="560"/>
      <c r="AG26" s="549"/>
      <c r="AH26" s="548"/>
      <c r="AI26" s="548"/>
      <c r="AJ26" s="553"/>
      <c r="AK26" s="554"/>
      <c r="AL26" s="548"/>
      <c r="AM26" s="548"/>
      <c r="AN26" s="548"/>
      <c r="AO26" s="558"/>
      <c r="AP26" s="558"/>
      <c r="AQ26" s="559"/>
      <c r="AR26" s="556"/>
      <c r="AS26" s="564"/>
      <c r="AT26" s="556"/>
      <c r="AU26" s="556"/>
      <c r="AV26" s="556"/>
      <c r="AW26" s="556"/>
      <c r="AX26" s="554"/>
      <c r="AY26" s="562"/>
    </row>
    <row r="27" spans="1:51" ht="43.5" customHeight="1" x14ac:dyDescent="0.25">
      <c r="A27" s="938"/>
      <c r="B27" s="941"/>
      <c r="C27" s="944"/>
      <c r="D27" s="555" t="s">
        <v>44</v>
      </c>
      <c r="E27" s="539">
        <v>588493366</v>
      </c>
      <c r="F27" s="539">
        <v>588493366</v>
      </c>
      <c r="G27" s="1027">
        <v>588493366</v>
      </c>
      <c r="H27" s="1027">
        <v>588493366</v>
      </c>
      <c r="I27" s="1027">
        <v>588493366</v>
      </c>
      <c r="J27" s="1027">
        <v>588493366</v>
      </c>
      <c r="K27" s="1027">
        <v>588493366</v>
      </c>
      <c r="L27" s="1027">
        <v>588493366</v>
      </c>
      <c r="M27" s="539">
        <f>+[10]INVERSIÓN!DL30</f>
        <v>588493366</v>
      </c>
      <c r="N27" s="539">
        <v>588493366</v>
      </c>
      <c r="O27" s="1027">
        <v>588493366</v>
      </c>
      <c r="P27" s="539">
        <v>582125366</v>
      </c>
      <c r="Q27" s="1028">
        <v>644567066</v>
      </c>
      <c r="R27" s="1028">
        <f>+R23+R25</f>
        <v>644567066</v>
      </c>
      <c r="S27" s="1029"/>
      <c r="T27" s="539">
        <v>116159000</v>
      </c>
      <c r="U27" s="539">
        <v>521749366</v>
      </c>
      <c r="V27" s="539">
        <v>567451366</v>
      </c>
      <c r="W27" s="539">
        <v>567451366</v>
      </c>
      <c r="X27" s="540">
        <v>567451366</v>
      </c>
      <c r="Y27" s="540">
        <v>567451366</v>
      </c>
      <c r="Z27" s="544">
        <f>+[10]INVERSIÓN!DK30</f>
        <v>567451366</v>
      </c>
      <c r="AA27" s="1030">
        <v>567451366</v>
      </c>
      <c r="AB27" s="1030">
        <v>567451366</v>
      </c>
      <c r="AC27" s="1031">
        <v>567451366</v>
      </c>
      <c r="AD27" s="1028">
        <v>595271866</v>
      </c>
      <c r="AE27" s="1028">
        <f>+AE23+AE25</f>
        <v>644567066</v>
      </c>
      <c r="AF27" s="1029"/>
      <c r="AG27" s="1032"/>
      <c r="AH27" s="1033"/>
      <c r="AI27" s="1033"/>
      <c r="AJ27" s="1034"/>
      <c r="AK27" s="1035"/>
      <c r="AL27" s="1033"/>
      <c r="AM27" s="1033"/>
      <c r="AN27" s="1033"/>
      <c r="AO27" s="1036"/>
      <c r="AP27" s="1036"/>
      <c r="AQ27" s="1037"/>
      <c r="AR27" s="1038"/>
      <c r="AS27" s="1039"/>
      <c r="AT27" s="1038"/>
      <c r="AU27" s="1038"/>
      <c r="AV27" s="1038"/>
      <c r="AW27" s="1038"/>
      <c r="AX27" s="1035"/>
      <c r="AY27" s="1040"/>
    </row>
    <row r="28" spans="1:51" ht="24" x14ac:dyDescent="0.25">
      <c r="A28" s="946" t="s">
        <v>21</v>
      </c>
      <c r="B28" s="946"/>
      <c r="C28" s="946"/>
      <c r="D28" s="322" t="s">
        <v>33</v>
      </c>
      <c r="E28" s="428">
        <v>4406096000</v>
      </c>
      <c r="F28" s="428">
        <v>4406096000</v>
      </c>
      <c r="G28" s="428">
        <v>4406096000</v>
      </c>
      <c r="H28" s="428">
        <v>4406096000</v>
      </c>
      <c r="I28" s="428">
        <v>4406096000</v>
      </c>
      <c r="J28" s="428">
        <v>4406096000</v>
      </c>
      <c r="K28" s="428">
        <v>4406096000</v>
      </c>
      <c r="L28" s="428">
        <v>4406096000</v>
      </c>
      <c r="M28" s="428">
        <v>4406096000</v>
      </c>
      <c r="N28" s="428">
        <v>4406096000</v>
      </c>
      <c r="O28" s="428">
        <v>4406096000</v>
      </c>
      <c r="P28" s="428">
        <v>4406096000</v>
      </c>
      <c r="Q28" s="1041">
        <f>+R11+R17+R23</f>
        <v>4576738720</v>
      </c>
      <c r="R28" s="1041">
        <f>+R11+R17+R23</f>
        <v>4576738720</v>
      </c>
      <c r="S28" s="1042"/>
      <c r="T28" s="427">
        <v>1163116000</v>
      </c>
      <c r="U28" s="427">
        <v>4257905000</v>
      </c>
      <c r="V28" s="427">
        <v>4257905000</v>
      </c>
      <c r="W28" s="427">
        <v>4257905000</v>
      </c>
      <c r="X28" s="427">
        <v>4257905000</v>
      </c>
      <c r="Y28" s="445">
        <v>4257905000</v>
      </c>
      <c r="Z28" s="427">
        <f>+Z11+Z17+Z23</f>
        <v>4293165500</v>
      </c>
      <c r="AA28" s="449">
        <v>4353165500</v>
      </c>
      <c r="AB28" s="449">
        <v>4353165500</v>
      </c>
      <c r="AC28" s="428">
        <v>4358748165</v>
      </c>
      <c r="AD28" s="449">
        <v>4413096198</v>
      </c>
      <c r="AE28" s="449">
        <f>+AE11+AE17+AE23</f>
        <v>4576569365</v>
      </c>
      <c r="AF28" s="947"/>
      <c r="AG28" s="947"/>
      <c r="AH28" s="947"/>
      <c r="AI28" s="947"/>
      <c r="AJ28" s="947"/>
      <c r="AK28" s="947"/>
      <c r="AL28" s="947"/>
      <c r="AM28" s="947"/>
      <c r="AN28" s="947"/>
      <c r="AO28" s="947"/>
      <c r="AP28" s="947"/>
      <c r="AQ28" s="947"/>
      <c r="AR28" s="947"/>
      <c r="AS28" s="947"/>
      <c r="AT28" s="947"/>
      <c r="AU28" s="947"/>
      <c r="AV28" s="947"/>
      <c r="AW28" s="947"/>
      <c r="AX28" s="947"/>
      <c r="AY28" s="947"/>
    </row>
    <row r="29" spans="1:51" ht="24" x14ac:dyDescent="0.25">
      <c r="A29" s="946"/>
      <c r="B29" s="946"/>
      <c r="C29" s="946"/>
      <c r="D29" s="322" t="s">
        <v>32</v>
      </c>
      <c r="E29" s="428">
        <v>379340457</v>
      </c>
      <c r="F29" s="428">
        <v>379340457</v>
      </c>
      <c r="G29" s="428">
        <v>379340457</v>
      </c>
      <c r="H29" s="428">
        <v>379340457</v>
      </c>
      <c r="I29" s="428">
        <v>379340457</v>
      </c>
      <c r="J29" s="428">
        <v>379340457</v>
      </c>
      <c r="K29" s="428">
        <v>363297157</v>
      </c>
      <c r="L29" s="428">
        <v>363297157</v>
      </c>
      <c r="M29" s="428">
        <v>363297157</v>
      </c>
      <c r="N29" s="428">
        <v>363297157</v>
      </c>
      <c r="O29" s="428">
        <v>363297157</v>
      </c>
      <c r="P29" s="428">
        <v>363297157</v>
      </c>
      <c r="Q29" s="1041">
        <f>+R13+R19+R25</f>
        <v>363297157</v>
      </c>
      <c r="R29" s="1041">
        <f>+R13+R19+R25</f>
        <v>363297157</v>
      </c>
      <c r="S29" s="1042"/>
      <c r="T29" s="427">
        <v>88118836</v>
      </c>
      <c r="U29" s="427">
        <v>290473458</v>
      </c>
      <c r="V29" s="427">
        <v>262351479</v>
      </c>
      <c r="W29" s="427">
        <v>290473458</v>
      </c>
      <c r="X29" s="427">
        <v>304906524</v>
      </c>
      <c r="Y29" s="445">
        <v>304906524</v>
      </c>
      <c r="Z29" s="427">
        <f>+Z13+Z19+Z25</f>
        <v>304906524</v>
      </c>
      <c r="AA29" s="449">
        <v>311417524</v>
      </c>
      <c r="AB29" s="449">
        <v>311417524</v>
      </c>
      <c r="AC29" s="428">
        <v>311417524</v>
      </c>
      <c r="AD29" s="449">
        <v>311417524</v>
      </c>
      <c r="AE29" s="449">
        <f>+AE13+AE19+AE25</f>
        <v>311417524</v>
      </c>
      <c r="AF29" s="947"/>
      <c r="AG29" s="947"/>
      <c r="AH29" s="947"/>
      <c r="AI29" s="947"/>
      <c r="AJ29" s="947"/>
      <c r="AK29" s="947"/>
      <c r="AL29" s="947"/>
      <c r="AM29" s="947"/>
      <c r="AN29" s="947"/>
      <c r="AO29" s="947"/>
      <c r="AP29" s="947"/>
      <c r="AQ29" s="947"/>
      <c r="AR29" s="947"/>
      <c r="AS29" s="947"/>
      <c r="AT29" s="947"/>
      <c r="AU29" s="947"/>
      <c r="AV29" s="947"/>
      <c r="AW29" s="947"/>
      <c r="AX29" s="947"/>
      <c r="AY29" s="947"/>
    </row>
    <row r="30" spans="1:51" ht="24" x14ac:dyDescent="0.25">
      <c r="A30" s="946"/>
      <c r="B30" s="946"/>
      <c r="C30" s="946"/>
      <c r="D30" s="322" t="s">
        <v>31</v>
      </c>
      <c r="E30" s="428">
        <v>4785436457</v>
      </c>
      <c r="F30" s="428">
        <v>4785436457</v>
      </c>
      <c r="G30" s="428">
        <v>4785436457</v>
      </c>
      <c r="H30" s="428">
        <v>4785436457</v>
      </c>
      <c r="I30" s="428">
        <v>4785436457</v>
      </c>
      <c r="J30" s="428">
        <v>4785436457</v>
      </c>
      <c r="K30" s="428">
        <v>4769393157</v>
      </c>
      <c r="L30" s="428">
        <v>4769393157</v>
      </c>
      <c r="M30" s="428">
        <v>4769393157</v>
      </c>
      <c r="N30" s="428">
        <v>4769393157</v>
      </c>
      <c r="O30" s="428">
        <v>4769393157</v>
      </c>
      <c r="P30" s="428">
        <v>4769393157</v>
      </c>
      <c r="Q30" s="519">
        <f>+Q28+Q29</f>
        <v>4940035877</v>
      </c>
      <c r="R30" s="519">
        <f>+R28+R29</f>
        <v>4940035877</v>
      </c>
      <c r="S30" s="427"/>
      <c r="T30" s="427">
        <v>1251234836</v>
      </c>
      <c r="U30" s="427">
        <v>4548378458</v>
      </c>
      <c r="V30" s="427">
        <v>4520256479</v>
      </c>
      <c r="W30" s="427">
        <v>4548378458</v>
      </c>
      <c r="X30" s="427">
        <v>4562811524</v>
      </c>
      <c r="Y30" s="445">
        <v>4562811524</v>
      </c>
      <c r="Z30" s="427">
        <f>+Z28+Z29</f>
        <v>4598072024</v>
      </c>
      <c r="AA30" s="449">
        <v>4664583024</v>
      </c>
      <c r="AB30" s="449">
        <v>4664583024</v>
      </c>
      <c r="AC30" s="428">
        <v>4670165689</v>
      </c>
      <c r="AD30" s="449">
        <v>4724513722</v>
      </c>
      <c r="AE30" s="449">
        <f>+AE28+AE29</f>
        <v>4887986889</v>
      </c>
      <c r="AF30" s="947"/>
      <c r="AG30" s="947"/>
      <c r="AH30" s="947"/>
      <c r="AI30" s="947"/>
      <c r="AJ30" s="947"/>
      <c r="AK30" s="947"/>
      <c r="AL30" s="947"/>
      <c r="AM30" s="947"/>
      <c r="AN30" s="947"/>
      <c r="AO30" s="947"/>
      <c r="AP30" s="947"/>
      <c r="AQ30" s="947"/>
      <c r="AR30" s="947"/>
      <c r="AS30" s="947"/>
      <c r="AT30" s="947"/>
      <c r="AU30" s="947"/>
      <c r="AV30" s="947"/>
      <c r="AW30" s="947"/>
      <c r="AX30" s="947"/>
      <c r="AY30" s="947"/>
    </row>
    <row r="31" spans="1:51" x14ac:dyDescent="0.25">
      <c r="A31" s="16"/>
      <c r="B31" s="16"/>
      <c r="C31" s="16"/>
      <c r="D31" s="328"/>
      <c r="E31" s="40"/>
      <c r="F31" s="40"/>
      <c r="G31" s="40"/>
      <c r="H31" s="17"/>
      <c r="I31" s="17"/>
      <c r="J31" s="17"/>
      <c r="K31" s="17"/>
      <c r="L31" s="17"/>
      <c r="M31" s="17"/>
      <c r="P31" s="17"/>
      <c r="Q31" s="17"/>
      <c r="R31" s="17"/>
      <c r="S31" s="17"/>
      <c r="T31" s="330"/>
      <c r="U31" s="17"/>
      <c r="V31" s="17"/>
      <c r="W31" s="17"/>
      <c r="X31" s="17"/>
      <c r="Y31" s="17"/>
      <c r="Z31" s="17"/>
      <c r="AA31" s="17"/>
      <c r="AB31" s="17"/>
      <c r="AC31" s="40"/>
      <c r="AD31" s="16"/>
      <c r="AE31" s="16"/>
      <c r="AF31" s="16"/>
      <c r="AG31" s="16"/>
      <c r="AH31" s="24"/>
      <c r="AI31" s="24"/>
      <c r="AJ31" s="24"/>
      <c r="AK31" s="16"/>
      <c r="AL31" s="16"/>
      <c r="AM31" s="16"/>
      <c r="AN31" s="16"/>
      <c r="AO31" s="16"/>
      <c r="AP31" s="24"/>
      <c r="AQ31" s="24"/>
      <c r="AR31" s="16"/>
      <c r="AS31" s="16"/>
      <c r="AT31" s="16"/>
      <c r="AU31" s="16"/>
      <c r="AV31" s="16"/>
      <c r="AW31" s="16"/>
      <c r="AX31" s="327"/>
    </row>
    <row r="32" spans="1:51" ht="18" x14ac:dyDescent="0.25">
      <c r="A32" s="18" t="s">
        <v>34</v>
      </c>
      <c r="B32" s="16"/>
      <c r="C32" s="16"/>
      <c r="D32" s="328"/>
      <c r="E32" s="40"/>
      <c r="F32" s="40"/>
      <c r="G32" s="40"/>
      <c r="H32" s="17"/>
      <c r="I32" s="17"/>
      <c r="J32" s="17"/>
      <c r="K32" s="17"/>
      <c r="L32" s="17"/>
      <c r="M32" s="17"/>
      <c r="P32" s="17"/>
      <c r="Q32" s="17"/>
      <c r="R32" s="17"/>
      <c r="T32" s="330"/>
      <c r="U32" s="17"/>
      <c r="V32" s="17"/>
      <c r="W32" s="17"/>
      <c r="X32" s="17"/>
      <c r="Y32" s="17"/>
      <c r="Z32" s="17"/>
      <c r="AA32" s="17"/>
      <c r="AB32" s="17"/>
      <c r="AC32" s="40"/>
      <c r="AD32" s="16"/>
      <c r="AE32" s="16"/>
      <c r="AF32" s="16"/>
      <c r="AG32" s="16"/>
      <c r="AH32" s="24"/>
      <c r="AI32" s="24"/>
      <c r="AJ32" s="25"/>
      <c r="AK32" s="19"/>
      <c r="AL32" s="19"/>
      <c r="AM32" s="19"/>
      <c r="AN32" s="19"/>
      <c r="AO32" s="19"/>
      <c r="AP32" s="25"/>
      <c r="AQ32" s="25"/>
      <c r="AR32" s="20"/>
      <c r="AS32" s="20"/>
      <c r="AT32" s="20"/>
      <c r="AU32" s="20"/>
      <c r="AV32" s="20"/>
      <c r="AW32" s="20"/>
      <c r="AX32" s="78"/>
    </row>
    <row r="33" spans="1:51" x14ac:dyDescent="0.25">
      <c r="A33" s="22"/>
      <c r="B33" s="22"/>
      <c r="C33" s="22"/>
      <c r="D33" s="329"/>
      <c r="E33" s="41"/>
      <c r="F33" s="41"/>
      <c r="G33" s="41"/>
      <c r="H33" s="22"/>
      <c r="I33" s="22"/>
      <c r="J33" s="22"/>
      <c r="K33" s="22"/>
      <c r="L33" s="22"/>
      <c r="M33" s="22"/>
      <c r="N33" s="22"/>
      <c r="O33" s="22"/>
      <c r="P33" s="22"/>
      <c r="Q33" s="22"/>
      <c r="R33" s="17"/>
      <c r="T33" s="331"/>
      <c r="U33" s="22"/>
      <c r="V33" s="22"/>
      <c r="W33" s="22"/>
      <c r="X33" s="22"/>
      <c r="Y33" s="22"/>
      <c r="Z33" s="22"/>
      <c r="AA33" s="17"/>
      <c r="AB33" s="17"/>
      <c r="AC33" s="41"/>
      <c r="AD33" s="22"/>
      <c r="AE33" s="22"/>
      <c r="AF33" s="16"/>
      <c r="AG33" s="22"/>
      <c r="AH33" s="41"/>
      <c r="AI33" s="41"/>
      <c r="AJ33" s="41"/>
      <c r="AK33" s="22"/>
      <c r="AL33" s="22"/>
      <c r="AM33" s="22"/>
      <c r="AN33" s="22"/>
      <c r="AO33" s="22"/>
      <c r="AP33" s="41"/>
      <c r="AQ33" s="41"/>
      <c r="AR33" s="22"/>
      <c r="AS33" s="22"/>
      <c r="AT33" s="22"/>
      <c r="AU33" s="22"/>
      <c r="AV33" s="22"/>
      <c r="AW33" s="22"/>
      <c r="AX33" s="79"/>
    </row>
    <row r="34" spans="1:51" ht="18" x14ac:dyDescent="0.25">
      <c r="A34" s="324" t="s">
        <v>35</v>
      </c>
      <c r="B34" s="948" t="s">
        <v>36</v>
      </c>
      <c r="C34" s="949"/>
      <c r="D34" s="950"/>
      <c r="E34" s="951" t="s">
        <v>37</v>
      </c>
      <c r="F34" s="951"/>
      <c r="G34" s="951"/>
      <c r="H34" s="951"/>
      <c r="I34" s="951"/>
      <c r="J34" s="951"/>
      <c r="K34" s="951"/>
      <c r="L34" s="951"/>
      <c r="M34" s="951"/>
      <c r="N34" s="951"/>
      <c r="O34" s="951"/>
      <c r="P34" s="951"/>
      <c r="Q34" s="951"/>
      <c r="R34" s="951"/>
      <c r="S34" s="16"/>
      <c r="T34" s="330"/>
      <c r="U34" s="16"/>
      <c r="V34" s="16"/>
      <c r="W34" s="16"/>
      <c r="X34" s="16"/>
      <c r="Y34" s="16"/>
      <c r="Z34" s="16"/>
      <c r="AA34" s="16"/>
      <c r="AB34" s="16"/>
      <c r="AC34" s="16"/>
      <c r="AD34" s="113"/>
      <c r="AE34" s="16"/>
      <c r="AF34" s="16"/>
      <c r="AG34" s="16"/>
      <c r="AH34" s="16"/>
      <c r="AI34" s="16"/>
      <c r="AJ34" s="19"/>
      <c r="AK34" s="19"/>
      <c r="AL34" s="19"/>
      <c r="AM34" s="19"/>
      <c r="AN34" s="19"/>
      <c r="AO34" s="19"/>
      <c r="AP34" s="19"/>
      <c r="AQ34" s="25"/>
      <c r="AR34" s="25"/>
      <c r="AS34" s="19"/>
      <c r="AT34" s="19"/>
      <c r="AU34" s="19"/>
      <c r="AV34" s="19"/>
      <c r="AW34" s="19"/>
      <c r="AX34" s="19"/>
      <c r="AY34" s="19"/>
    </row>
    <row r="35" spans="1:51" ht="18" x14ac:dyDescent="0.25">
      <c r="A35" s="566">
        <v>13</v>
      </c>
      <c r="B35" s="933" t="s">
        <v>89</v>
      </c>
      <c r="C35" s="934"/>
      <c r="D35" s="935"/>
      <c r="E35" s="936" t="s">
        <v>80</v>
      </c>
      <c r="F35" s="936"/>
      <c r="G35" s="936"/>
      <c r="H35" s="936"/>
      <c r="I35" s="936"/>
      <c r="J35" s="936"/>
      <c r="K35" s="936"/>
      <c r="L35" s="936"/>
      <c r="M35" s="936"/>
      <c r="N35" s="936"/>
      <c r="O35" s="936"/>
      <c r="P35" s="936"/>
      <c r="Q35" s="936"/>
      <c r="R35" s="936"/>
      <c r="S35" s="16"/>
      <c r="T35" s="330"/>
      <c r="U35" s="16"/>
      <c r="V35" s="16"/>
      <c r="W35" s="16"/>
      <c r="X35" s="16"/>
      <c r="Y35" s="16"/>
      <c r="Z35" s="16"/>
      <c r="AA35" s="16"/>
      <c r="AB35" s="16"/>
      <c r="AC35" s="16"/>
      <c r="AD35" s="113"/>
      <c r="AE35" s="16"/>
      <c r="AF35" s="16"/>
      <c r="AG35" s="16"/>
      <c r="AH35" s="16"/>
      <c r="AI35" s="16"/>
      <c r="AJ35" s="19"/>
      <c r="AK35" s="19"/>
      <c r="AL35" s="19"/>
      <c r="AM35" s="19"/>
      <c r="AN35" s="19"/>
      <c r="AO35" s="19"/>
      <c r="AP35" s="19"/>
      <c r="AQ35" s="25"/>
      <c r="AR35" s="25"/>
      <c r="AS35" s="19"/>
      <c r="AT35" s="19"/>
      <c r="AU35" s="19"/>
      <c r="AV35" s="19"/>
      <c r="AW35" s="19"/>
      <c r="AX35" s="19"/>
      <c r="AY35" s="19"/>
    </row>
    <row r="36" spans="1:51" x14ac:dyDescent="0.25">
      <c r="A36" s="566">
        <v>14</v>
      </c>
      <c r="B36" s="933" t="s">
        <v>334</v>
      </c>
      <c r="C36" s="934"/>
      <c r="D36" s="935"/>
      <c r="E36" s="936" t="s">
        <v>333</v>
      </c>
      <c r="F36" s="936"/>
      <c r="G36" s="936"/>
      <c r="H36" s="936"/>
      <c r="I36" s="936"/>
      <c r="J36" s="936"/>
      <c r="K36" s="936"/>
      <c r="L36" s="936"/>
      <c r="M36" s="936"/>
      <c r="N36" s="936"/>
      <c r="O36" s="936"/>
      <c r="P36" s="936"/>
      <c r="Q36" s="936"/>
      <c r="R36" s="936"/>
      <c r="S36" s="16"/>
      <c r="T36" s="330"/>
      <c r="U36" s="16"/>
      <c r="V36" s="16"/>
      <c r="W36" s="16"/>
      <c r="X36" s="16"/>
      <c r="Y36" s="16"/>
      <c r="Z36" s="16"/>
      <c r="AA36" s="16"/>
      <c r="AC36" s="16"/>
      <c r="AD36" s="113"/>
      <c r="AE36" s="16"/>
      <c r="AF36" s="16"/>
      <c r="AG36" s="16"/>
      <c r="AH36" s="16"/>
      <c r="AI36" s="16"/>
      <c r="AJ36" s="16"/>
      <c r="AK36" s="16"/>
      <c r="AL36" s="16"/>
      <c r="AM36" s="16"/>
      <c r="AN36" s="16"/>
      <c r="AO36" s="16"/>
      <c r="AP36" s="16"/>
      <c r="AQ36" s="24"/>
      <c r="AR36" s="24"/>
      <c r="AS36" s="16"/>
      <c r="AT36" s="16"/>
      <c r="AU36" s="16"/>
      <c r="AV36" s="16"/>
      <c r="AW36" s="16"/>
      <c r="AX36" s="16"/>
      <c r="AY36" s="16"/>
    </row>
    <row r="37" spans="1:51" x14ac:dyDescent="0.25">
      <c r="A37" s="22"/>
      <c r="B37" s="22"/>
      <c r="C37" s="22"/>
      <c r="D37" s="329"/>
      <c r="E37" s="41"/>
      <c r="F37" s="41"/>
      <c r="G37" s="41"/>
      <c r="H37" s="22"/>
      <c r="I37" s="22"/>
      <c r="J37" s="22"/>
      <c r="K37" s="22"/>
      <c r="L37" s="22"/>
      <c r="M37" s="22"/>
      <c r="N37" s="22"/>
      <c r="O37" s="22"/>
      <c r="P37" s="22"/>
      <c r="Q37" s="22"/>
      <c r="R37" s="22"/>
      <c r="S37" s="22"/>
      <c r="T37" s="331"/>
      <c r="U37" s="22"/>
      <c r="V37" s="22"/>
      <c r="W37" s="22"/>
      <c r="X37" s="22"/>
      <c r="Y37" s="22"/>
      <c r="Z37" s="22"/>
      <c r="AA37" s="22"/>
      <c r="AC37" s="16"/>
      <c r="AD37" s="80"/>
      <c r="AE37" s="22"/>
      <c r="AF37" s="22"/>
      <c r="AG37" s="22"/>
      <c r="AH37" s="41"/>
      <c r="AI37" s="41"/>
      <c r="AJ37" s="41"/>
      <c r="AK37" s="22"/>
      <c r="AL37" s="22"/>
      <c r="AM37" s="22"/>
      <c r="AN37" s="22"/>
      <c r="AO37" s="22"/>
      <c r="AP37" s="41"/>
      <c r="AQ37" s="41"/>
      <c r="AR37" s="22"/>
      <c r="AS37" s="22"/>
      <c r="AT37" s="22"/>
      <c r="AU37" s="22"/>
      <c r="AV37" s="22"/>
      <c r="AW37" s="22"/>
      <c r="AX37" s="79"/>
    </row>
    <row r="38" spans="1:51" x14ac:dyDescent="0.25">
      <c r="A38" s="22"/>
      <c r="B38" s="22"/>
      <c r="C38" s="22"/>
      <c r="D38" s="329"/>
      <c r="E38" s="326"/>
      <c r="F38" s="326"/>
      <c r="G38" s="326"/>
      <c r="H38" s="325"/>
      <c r="I38" s="325"/>
      <c r="J38" s="325"/>
      <c r="K38" s="325"/>
      <c r="L38" s="325"/>
      <c r="M38" s="325"/>
      <c r="N38" s="325"/>
      <c r="O38" s="16"/>
      <c r="P38" s="325"/>
      <c r="Q38" s="325"/>
      <c r="R38" s="325"/>
      <c r="S38" s="325"/>
      <c r="T38" s="331"/>
      <c r="U38" s="325"/>
      <c r="V38" s="325"/>
      <c r="W38" s="325"/>
      <c r="X38" s="325"/>
      <c r="Y38" s="325"/>
      <c r="Z38" s="325"/>
      <c r="AA38" s="325"/>
      <c r="AC38" s="16"/>
      <c r="AD38" s="22"/>
      <c r="AE38" s="22"/>
      <c r="AF38" s="22"/>
      <c r="AG38" s="22"/>
      <c r="AH38" s="41"/>
      <c r="AI38" s="41"/>
      <c r="AJ38" s="41"/>
      <c r="AK38" s="22"/>
      <c r="AL38" s="22"/>
      <c r="AM38" s="22"/>
      <c r="AN38" s="22"/>
      <c r="AO38" s="22"/>
      <c r="AP38" s="41"/>
      <c r="AQ38" s="41"/>
      <c r="AR38" s="22"/>
      <c r="AS38" s="22"/>
      <c r="AT38" s="22"/>
      <c r="AU38" s="22"/>
      <c r="AV38" s="22"/>
      <c r="AW38" s="22"/>
      <c r="AX38" s="79"/>
    </row>
    <row r="39" spans="1:51" x14ac:dyDescent="0.25">
      <c r="A39" s="22"/>
      <c r="B39" s="22"/>
      <c r="C39" s="22"/>
      <c r="D39" s="329"/>
      <c r="E39" s="41"/>
      <c r="F39" s="41"/>
      <c r="G39" s="41"/>
      <c r="H39" s="22"/>
      <c r="I39" s="22"/>
      <c r="J39" s="22"/>
      <c r="K39" s="22"/>
      <c r="L39" s="22"/>
      <c r="M39" s="22"/>
      <c r="N39" s="22"/>
      <c r="O39" s="16"/>
      <c r="P39" s="22"/>
      <c r="Q39" s="22"/>
      <c r="R39" s="22"/>
      <c r="S39" s="22"/>
      <c r="T39" s="331"/>
      <c r="U39" s="22"/>
      <c r="V39" s="22"/>
      <c r="W39" s="22"/>
      <c r="X39" s="22"/>
      <c r="Y39" s="22"/>
      <c r="Z39" s="22"/>
      <c r="AA39" s="22"/>
      <c r="AB39" s="22"/>
      <c r="AC39" s="16"/>
      <c r="AD39" s="22"/>
      <c r="AE39" s="22"/>
      <c r="AF39" s="22"/>
      <c r="AG39" s="22"/>
      <c r="AH39" s="41"/>
      <c r="AI39" s="41"/>
      <c r="AJ39" s="41"/>
      <c r="AK39" s="22"/>
      <c r="AL39" s="22"/>
      <c r="AM39" s="22"/>
      <c r="AN39" s="22"/>
      <c r="AO39" s="22"/>
      <c r="AP39" s="41"/>
      <c r="AQ39" s="41"/>
      <c r="AR39" s="22"/>
      <c r="AS39" s="22"/>
      <c r="AT39" s="22"/>
      <c r="AU39" s="22"/>
      <c r="AV39" s="22"/>
      <c r="AW39" s="22"/>
      <c r="AX39" s="79"/>
    </row>
    <row r="40" spans="1:51" x14ac:dyDescent="0.25">
      <c r="A40" s="22"/>
      <c r="B40" s="22"/>
      <c r="C40" s="22"/>
      <c r="D40" s="329"/>
      <c r="E40" s="41"/>
      <c r="F40" s="41"/>
      <c r="G40" s="41"/>
      <c r="H40" s="22"/>
      <c r="I40" s="22"/>
      <c r="J40" s="22"/>
      <c r="K40" s="22"/>
      <c r="L40" s="22"/>
      <c r="M40" s="22"/>
      <c r="N40" s="22"/>
      <c r="O40" s="16"/>
      <c r="P40" s="22"/>
      <c r="Q40" s="22"/>
      <c r="R40" s="22"/>
      <c r="S40" s="22"/>
      <c r="T40" s="331"/>
      <c r="U40" s="22"/>
      <c r="V40" s="22"/>
      <c r="W40" s="22"/>
      <c r="X40" s="22"/>
      <c r="Y40" s="22"/>
      <c r="Z40" s="22"/>
      <c r="AA40" s="22"/>
      <c r="AB40" s="22"/>
      <c r="AC40" s="16"/>
      <c r="AD40" s="22"/>
      <c r="AE40" s="22"/>
      <c r="AF40" s="22"/>
      <c r="AG40" s="22"/>
      <c r="AH40" s="41"/>
      <c r="AI40" s="41"/>
      <c r="AJ40" s="41"/>
      <c r="AK40" s="22"/>
      <c r="AL40" s="22"/>
      <c r="AM40" s="22"/>
      <c r="AN40" s="22"/>
      <c r="AO40" s="22"/>
      <c r="AP40" s="41"/>
      <c r="AQ40" s="41"/>
      <c r="AR40" s="22"/>
      <c r="AS40" s="22"/>
      <c r="AT40" s="22"/>
      <c r="AU40" s="22"/>
      <c r="AV40" s="22"/>
      <c r="AW40" s="22"/>
      <c r="AX40" s="79"/>
    </row>
    <row r="41" spans="1:51" x14ac:dyDescent="0.25">
      <c r="A41" s="22"/>
      <c r="B41" s="22"/>
      <c r="C41" s="22"/>
      <c r="D41" s="329"/>
      <c r="E41" s="41"/>
      <c r="F41" s="41"/>
      <c r="G41" s="41"/>
      <c r="H41" s="22"/>
      <c r="I41" s="22"/>
      <c r="J41" s="22"/>
      <c r="K41" s="22"/>
      <c r="L41" s="22"/>
      <c r="M41" s="22"/>
      <c r="N41" s="22"/>
      <c r="O41" s="16"/>
      <c r="P41" s="22"/>
      <c r="Q41" s="22"/>
      <c r="R41" s="22"/>
      <c r="S41" s="22"/>
      <c r="T41" s="331"/>
      <c r="U41" s="22"/>
      <c r="V41" s="22"/>
      <c r="W41" s="22"/>
      <c r="X41" s="22"/>
      <c r="Y41" s="22"/>
      <c r="Z41" s="22"/>
      <c r="AA41" s="22"/>
      <c r="AB41" s="22"/>
      <c r="AC41" s="41"/>
      <c r="AD41" s="22"/>
      <c r="AE41" s="22"/>
      <c r="AF41" s="22"/>
      <c r="AG41" s="22"/>
      <c r="AH41" s="41"/>
      <c r="AI41" s="41"/>
      <c r="AJ41" s="41"/>
      <c r="AK41" s="22"/>
      <c r="AL41" s="22"/>
      <c r="AM41" s="22"/>
      <c r="AN41" s="22"/>
      <c r="AO41" s="22"/>
      <c r="AP41" s="41"/>
      <c r="AQ41" s="41"/>
      <c r="AR41" s="22"/>
      <c r="AS41" s="22"/>
      <c r="AT41" s="22"/>
      <c r="AU41" s="22"/>
      <c r="AV41" s="22"/>
      <c r="AW41" s="22"/>
      <c r="AX41" s="79"/>
    </row>
    <row r="42" spans="1:51" x14ac:dyDescent="0.25">
      <c r="A42" s="22"/>
      <c r="B42" s="22"/>
      <c r="C42" s="22"/>
      <c r="D42" s="329"/>
      <c r="E42" s="41"/>
      <c r="F42" s="41"/>
      <c r="G42" s="41"/>
      <c r="H42" s="22"/>
      <c r="I42" s="22"/>
      <c r="J42" s="22"/>
      <c r="K42" s="22"/>
      <c r="L42" s="22"/>
      <c r="M42" s="22"/>
      <c r="N42" s="22"/>
      <c r="O42" s="22"/>
      <c r="P42" s="22"/>
      <c r="Q42" s="22"/>
      <c r="R42" s="22"/>
      <c r="S42" s="22"/>
      <c r="T42" s="331"/>
      <c r="U42" s="22"/>
      <c r="V42" s="22"/>
      <c r="W42" s="22"/>
      <c r="X42" s="22"/>
      <c r="Y42" s="22"/>
      <c r="Z42" s="22"/>
      <c r="AA42" s="22"/>
      <c r="AB42" s="22"/>
      <c r="AC42" s="41"/>
      <c r="AD42" s="22"/>
      <c r="AE42" s="22"/>
      <c r="AF42" s="22"/>
      <c r="AG42" s="22"/>
      <c r="AH42" s="41"/>
      <c r="AI42" s="41"/>
      <c r="AJ42" s="41"/>
      <c r="AK42" s="22"/>
      <c r="AL42" s="22"/>
      <c r="AM42" s="22"/>
      <c r="AN42" s="22"/>
      <c r="AO42" s="22"/>
      <c r="AP42" s="41"/>
      <c r="AQ42" s="41"/>
      <c r="AR42" s="22"/>
      <c r="AS42" s="22"/>
      <c r="AT42" s="22"/>
      <c r="AU42" s="22"/>
      <c r="AV42" s="22"/>
      <c r="AW42" s="22"/>
      <c r="AX42" s="79"/>
    </row>
    <row r="43" spans="1:51" x14ac:dyDescent="0.25">
      <c r="A43" s="22"/>
      <c r="B43" s="22"/>
      <c r="C43" s="22"/>
      <c r="D43" s="329"/>
      <c r="E43" s="41"/>
      <c r="F43" s="41"/>
      <c r="G43" s="41"/>
      <c r="H43" s="22"/>
      <c r="I43" s="22"/>
      <c r="J43" s="22"/>
      <c r="K43" s="22"/>
      <c r="L43" s="22"/>
      <c r="M43" s="22"/>
      <c r="N43" s="22"/>
      <c r="O43" s="22"/>
      <c r="P43" s="22"/>
      <c r="Q43" s="22"/>
      <c r="R43" s="22"/>
      <c r="S43" s="22"/>
      <c r="T43" s="331"/>
      <c r="U43" s="22"/>
      <c r="V43" s="22"/>
      <c r="W43" s="22"/>
      <c r="X43" s="22"/>
      <c r="Y43" s="22"/>
      <c r="Z43" s="22"/>
      <c r="AA43" s="22"/>
      <c r="AB43" s="22"/>
      <c r="AC43" s="41"/>
      <c r="AD43" s="22"/>
      <c r="AE43" s="22"/>
      <c r="AF43" s="22"/>
      <c r="AG43" s="22"/>
      <c r="AH43" s="41"/>
      <c r="AI43" s="41"/>
      <c r="AJ43" s="41"/>
      <c r="AK43" s="22"/>
      <c r="AL43" s="22"/>
      <c r="AM43" s="22"/>
      <c r="AN43" s="22"/>
      <c r="AO43" s="22"/>
      <c r="AP43" s="41"/>
      <c r="AQ43" s="41"/>
      <c r="AR43" s="22"/>
      <c r="AS43" s="22"/>
      <c r="AT43" s="22"/>
      <c r="AU43" s="22"/>
      <c r="AV43" s="22"/>
      <c r="AW43" s="22"/>
      <c r="AX43" s="79"/>
    </row>
    <row r="44" spans="1:51" x14ac:dyDescent="0.25">
      <c r="A44" s="22"/>
      <c r="B44" s="22"/>
      <c r="C44" s="22"/>
      <c r="D44" s="329"/>
      <c r="E44" s="41"/>
      <c r="F44" s="41"/>
      <c r="G44" s="41"/>
      <c r="H44" s="22"/>
      <c r="I44" s="22"/>
      <c r="J44" s="22"/>
      <c r="K44" s="22"/>
      <c r="L44" s="22"/>
      <c r="M44" s="22"/>
      <c r="N44" s="22"/>
      <c r="O44" s="22"/>
      <c r="P44" s="22"/>
      <c r="Q44" s="22"/>
      <c r="R44" s="22"/>
      <c r="S44" s="22"/>
      <c r="T44" s="331"/>
      <c r="U44" s="22"/>
      <c r="V44" s="22"/>
      <c r="W44" s="22"/>
      <c r="X44" s="22"/>
      <c r="Y44" s="22"/>
      <c r="Z44" s="22"/>
      <c r="AA44" s="22"/>
      <c r="AB44" s="22"/>
      <c r="AC44" s="41"/>
      <c r="AD44" s="22"/>
      <c r="AE44" s="22"/>
      <c r="AF44" s="22"/>
      <c r="AG44" s="22"/>
      <c r="AH44" s="41"/>
      <c r="AI44" s="41"/>
      <c r="AJ44" s="41"/>
      <c r="AK44" s="22"/>
      <c r="AL44" s="22"/>
      <c r="AM44" s="22"/>
      <c r="AN44" s="22"/>
      <c r="AO44" s="22"/>
      <c r="AP44" s="41"/>
      <c r="AQ44" s="41"/>
      <c r="AR44" s="22"/>
      <c r="AS44" s="22"/>
      <c r="AT44" s="22"/>
      <c r="AU44" s="22"/>
      <c r="AV44" s="22"/>
      <c r="AW44" s="22"/>
      <c r="AX44" s="79"/>
    </row>
    <row r="45" spans="1:51" x14ac:dyDescent="0.25">
      <c r="A45" s="22"/>
      <c r="B45" s="22"/>
      <c r="C45" s="22"/>
      <c r="D45" s="329"/>
      <c r="E45" s="41"/>
      <c r="F45" s="41"/>
      <c r="G45" s="41"/>
      <c r="H45" s="22"/>
      <c r="I45" s="22"/>
      <c r="J45" s="22"/>
      <c r="K45" s="22"/>
      <c r="L45" s="22"/>
      <c r="M45" s="22"/>
      <c r="N45" s="22"/>
      <c r="O45" s="22"/>
      <c r="P45" s="22"/>
      <c r="Q45" s="22"/>
      <c r="R45" s="22"/>
      <c r="S45" s="22"/>
      <c r="T45" s="331"/>
      <c r="U45" s="22"/>
      <c r="V45" s="22"/>
      <c r="W45" s="22"/>
      <c r="X45" s="22"/>
      <c r="Y45" s="22"/>
      <c r="Z45" s="22"/>
      <c r="AA45" s="22"/>
      <c r="AB45" s="22"/>
      <c r="AC45" s="41"/>
      <c r="AD45" s="22"/>
      <c r="AE45" s="22"/>
      <c r="AF45" s="22"/>
      <c r="AG45" s="22"/>
      <c r="AH45" s="41"/>
      <c r="AI45" s="41"/>
      <c r="AJ45" s="41"/>
      <c r="AK45" s="22"/>
      <c r="AL45" s="22"/>
      <c r="AM45" s="22"/>
      <c r="AN45" s="22"/>
      <c r="AO45" s="22"/>
      <c r="AP45" s="41"/>
      <c r="AQ45" s="41"/>
      <c r="AR45" s="22"/>
      <c r="AS45" s="22"/>
      <c r="AT45" s="22"/>
      <c r="AU45" s="22"/>
      <c r="AV45" s="22"/>
      <c r="AW45" s="22"/>
      <c r="AX45" s="79"/>
    </row>
    <row r="46" spans="1:51" x14ac:dyDescent="0.25">
      <c r="R46" s="22"/>
      <c r="S46" s="22"/>
      <c r="T46" s="331"/>
      <c r="U46" s="22"/>
      <c r="V46" s="22"/>
      <c r="W46" s="22"/>
      <c r="X46" s="22"/>
      <c r="Y46" s="22"/>
      <c r="Z46" s="22"/>
      <c r="AA46" s="22"/>
      <c r="AB46" s="22"/>
      <c r="AC46" s="41"/>
      <c r="AD46" s="22"/>
    </row>
    <row r="47" spans="1:51" x14ac:dyDescent="0.25">
      <c r="R47" s="22"/>
      <c r="S47" s="22"/>
      <c r="T47" s="331"/>
      <c r="U47" s="22"/>
      <c r="V47" s="22"/>
      <c r="W47" s="22"/>
      <c r="X47" s="22"/>
      <c r="Y47" s="22"/>
      <c r="Z47" s="22"/>
      <c r="AA47" s="22"/>
      <c r="AB47" s="22"/>
      <c r="AC47" s="41"/>
      <c r="AD47" s="22"/>
    </row>
    <row r="48" spans="1:51" x14ac:dyDescent="0.25">
      <c r="R48" s="22"/>
      <c r="S48" s="22"/>
      <c r="T48" s="331"/>
      <c r="U48" s="22"/>
      <c r="V48" s="22"/>
      <c r="W48" s="22"/>
      <c r="X48" s="22"/>
      <c r="Y48" s="22"/>
      <c r="Z48" s="22"/>
      <c r="AA48" s="22"/>
      <c r="AB48" s="22"/>
      <c r="AC48" s="41"/>
      <c r="AD48" s="22"/>
    </row>
    <row r="49" spans="18:30" x14ac:dyDescent="0.25">
      <c r="R49" s="22"/>
      <c r="S49" s="22"/>
      <c r="T49" s="331"/>
      <c r="U49" s="22"/>
      <c r="V49" s="22"/>
      <c r="W49" s="22"/>
      <c r="X49" s="22"/>
      <c r="Y49" s="22"/>
      <c r="Z49" s="22"/>
      <c r="AA49" s="22"/>
      <c r="AB49" s="22"/>
      <c r="AC49" s="41"/>
      <c r="AD49" s="22"/>
    </row>
    <row r="50" spans="18:30" x14ac:dyDescent="0.25">
      <c r="R50" s="22"/>
      <c r="S50" s="22"/>
      <c r="T50" s="331"/>
      <c r="U50" s="22"/>
      <c r="V50" s="22"/>
      <c r="W50" s="22"/>
      <c r="X50" s="22"/>
      <c r="Y50" s="22"/>
      <c r="Z50" s="22"/>
      <c r="AA50" s="22"/>
      <c r="AB50" s="22"/>
      <c r="AC50" s="41"/>
      <c r="AD50" s="22"/>
    </row>
    <row r="51" spans="18:30" x14ac:dyDescent="0.25">
      <c r="R51" s="22"/>
      <c r="S51" s="22"/>
      <c r="T51" s="331"/>
      <c r="U51" s="22"/>
      <c r="V51" s="22"/>
      <c r="W51" s="22"/>
      <c r="X51" s="22"/>
      <c r="Y51" s="22"/>
      <c r="Z51" s="22"/>
      <c r="AA51" s="22"/>
      <c r="AB51" s="22"/>
      <c r="AC51" s="41"/>
      <c r="AD51" s="22"/>
    </row>
    <row r="52" spans="18:30" x14ac:dyDescent="0.25">
      <c r="R52" s="22"/>
      <c r="S52" s="22"/>
      <c r="T52" s="331"/>
      <c r="U52" s="22"/>
      <c r="V52" s="22"/>
      <c r="W52" s="22"/>
      <c r="X52" s="22"/>
      <c r="Y52" s="22"/>
      <c r="Z52" s="22"/>
      <c r="AA52" s="22"/>
      <c r="AB52" s="22"/>
      <c r="AC52" s="41"/>
      <c r="AD52" s="22"/>
    </row>
    <row r="53" spans="18:30" x14ac:dyDescent="0.25">
      <c r="R53" s="22"/>
      <c r="S53" s="22"/>
      <c r="T53" s="331"/>
      <c r="U53" s="22"/>
      <c r="V53" s="22"/>
      <c r="W53" s="22"/>
      <c r="X53" s="22"/>
      <c r="Y53" s="22"/>
      <c r="Z53" s="22"/>
      <c r="AA53" s="22"/>
      <c r="AB53" s="22"/>
      <c r="AC53" s="41"/>
      <c r="AD53" s="22"/>
    </row>
    <row r="54" spans="18:30" x14ac:dyDescent="0.25">
      <c r="R54" s="22"/>
      <c r="S54" s="22"/>
      <c r="T54" s="331"/>
      <c r="U54" s="22"/>
      <c r="V54" s="22"/>
      <c r="W54" s="22"/>
      <c r="X54" s="22"/>
      <c r="Y54" s="22"/>
      <c r="Z54" s="22"/>
      <c r="AA54" s="22"/>
      <c r="AB54" s="22"/>
      <c r="AC54" s="41"/>
      <c r="AD54" s="22"/>
    </row>
    <row r="55" spans="18:30" x14ac:dyDescent="0.25">
      <c r="R55" s="22"/>
      <c r="S55" s="22"/>
      <c r="T55" s="331"/>
      <c r="U55" s="22"/>
      <c r="V55" s="22"/>
      <c r="W55" s="22"/>
      <c r="X55" s="22"/>
      <c r="Y55" s="22"/>
      <c r="Z55" s="22"/>
      <c r="AA55" s="22"/>
      <c r="AB55" s="22"/>
      <c r="AC55" s="41"/>
      <c r="AD55" s="22"/>
    </row>
    <row r="56" spans="18:30" x14ac:dyDescent="0.25">
      <c r="R56" s="22"/>
      <c r="S56" s="22"/>
      <c r="T56" s="331"/>
      <c r="U56" s="22"/>
      <c r="V56" s="22"/>
      <c r="W56" s="22"/>
      <c r="X56" s="22"/>
      <c r="Y56" s="22"/>
      <c r="Z56" s="22"/>
      <c r="AA56" s="22"/>
      <c r="AB56" s="22"/>
      <c r="AC56" s="41"/>
      <c r="AD56" s="22"/>
    </row>
    <row r="57" spans="18:30" x14ac:dyDescent="0.25">
      <c r="R57" s="22"/>
      <c r="S57" s="22"/>
      <c r="T57" s="331"/>
      <c r="U57" s="22"/>
      <c r="V57" s="22"/>
      <c r="W57" s="22"/>
      <c r="X57" s="22"/>
      <c r="Y57" s="22"/>
      <c r="Z57" s="22"/>
      <c r="AA57" s="22"/>
      <c r="AB57" s="22"/>
      <c r="AC57" s="41"/>
      <c r="AD57" s="22"/>
    </row>
    <row r="58" spans="18:30" x14ac:dyDescent="0.25">
      <c r="R58" s="22"/>
      <c r="S58" s="22"/>
      <c r="T58" s="331"/>
      <c r="U58" s="22"/>
      <c r="V58" s="22"/>
      <c r="W58" s="22"/>
      <c r="X58" s="22"/>
      <c r="Y58" s="22"/>
      <c r="Z58" s="22"/>
      <c r="AA58" s="22"/>
      <c r="AB58" s="22"/>
      <c r="AC58" s="41"/>
      <c r="AD58" s="22"/>
    </row>
    <row r="59" spans="18:30" x14ac:dyDescent="0.25">
      <c r="R59" s="22"/>
      <c r="S59" s="22"/>
      <c r="T59" s="331"/>
      <c r="U59" s="22"/>
      <c r="V59" s="22"/>
      <c r="W59" s="22"/>
      <c r="X59" s="22"/>
      <c r="Y59" s="22"/>
      <c r="Z59" s="22"/>
      <c r="AA59" s="22"/>
      <c r="AB59" s="22"/>
      <c r="AC59" s="41"/>
      <c r="AD59" s="22"/>
    </row>
    <row r="60" spans="18:30" x14ac:dyDescent="0.25">
      <c r="R60" s="22"/>
      <c r="S60" s="22"/>
      <c r="T60" s="331"/>
      <c r="U60" s="22"/>
      <c r="V60" s="22"/>
      <c r="W60" s="22"/>
      <c r="X60" s="22"/>
      <c r="Y60" s="22"/>
      <c r="Z60" s="22"/>
      <c r="AA60" s="22"/>
      <c r="AB60" s="22"/>
      <c r="AC60" s="41"/>
      <c r="AD60" s="22"/>
    </row>
    <row r="61" spans="18:30" x14ac:dyDescent="0.25">
      <c r="R61" s="22"/>
      <c r="S61" s="22"/>
      <c r="T61" s="331"/>
      <c r="U61" s="22"/>
      <c r="V61" s="22"/>
      <c r="W61" s="22"/>
      <c r="X61" s="22"/>
      <c r="Y61" s="22"/>
      <c r="Z61" s="22"/>
      <c r="AA61" s="22"/>
      <c r="AB61" s="22"/>
      <c r="AC61" s="41"/>
      <c r="AD61" s="22"/>
    </row>
    <row r="62" spans="18:30" x14ac:dyDescent="0.25">
      <c r="R62" s="22"/>
      <c r="S62" s="22"/>
      <c r="T62" s="331"/>
      <c r="U62" s="22"/>
      <c r="V62" s="22"/>
      <c r="W62" s="22"/>
      <c r="X62" s="22"/>
      <c r="Y62" s="22"/>
      <c r="Z62" s="22"/>
      <c r="AA62" s="22"/>
      <c r="AB62" s="22"/>
      <c r="AC62" s="41"/>
      <c r="AD62" s="22"/>
    </row>
    <row r="63" spans="18:30" x14ac:dyDescent="0.25">
      <c r="R63" s="22"/>
      <c r="S63" s="22"/>
      <c r="T63" s="331"/>
      <c r="U63" s="22"/>
      <c r="V63" s="22"/>
      <c r="W63" s="22"/>
      <c r="X63" s="22"/>
      <c r="Y63" s="22"/>
      <c r="Z63" s="22"/>
      <c r="AA63" s="22"/>
      <c r="AB63" s="22"/>
      <c r="AC63" s="41"/>
      <c r="AD63" s="22"/>
    </row>
    <row r="64" spans="18:30" x14ac:dyDescent="0.25">
      <c r="R64" s="22"/>
      <c r="S64" s="22"/>
      <c r="T64" s="331"/>
      <c r="U64" s="22"/>
      <c r="V64" s="22"/>
      <c r="W64" s="22"/>
      <c r="X64" s="22"/>
      <c r="Y64" s="22"/>
      <c r="Z64" s="22"/>
      <c r="AA64" s="22"/>
      <c r="AB64" s="22"/>
      <c r="AC64" s="41"/>
      <c r="AD64" s="22"/>
    </row>
    <row r="65" spans="18:30" x14ac:dyDescent="0.25">
      <c r="R65" s="22"/>
      <c r="S65" s="22"/>
      <c r="T65" s="331"/>
      <c r="U65" s="22"/>
      <c r="V65" s="22"/>
      <c r="W65" s="22"/>
      <c r="X65" s="22"/>
      <c r="Y65" s="22"/>
      <c r="Z65" s="22"/>
      <c r="AA65" s="22"/>
      <c r="AB65" s="22"/>
      <c r="AC65" s="41"/>
      <c r="AD65" s="22"/>
    </row>
    <row r="66" spans="18:30" x14ac:dyDescent="0.25">
      <c r="R66" s="22"/>
      <c r="S66" s="22"/>
      <c r="T66" s="331"/>
      <c r="U66" s="22"/>
      <c r="V66" s="22"/>
      <c r="W66" s="22"/>
      <c r="X66" s="22"/>
      <c r="Y66" s="22"/>
      <c r="Z66" s="22"/>
      <c r="AA66" s="22"/>
      <c r="AB66" s="22"/>
      <c r="AC66" s="41"/>
      <c r="AD66" s="22"/>
    </row>
    <row r="67" spans="18:30" x14ac:dyDescent="0.25">
      <c r="R67" s="22"/>
      <c r="S67" s="22"/>
      <c r="T67" s="331"/>
      <c r="U67" s="22"/>
      <c r="V67" s="22"/>
      <c r="W67" s="22"/>
      <c r="X67" s="22"/>
      <c r="Y67" s="22"/>
      <c r="Z67" s="22"/>
      <c r="AA67" s="22"/>
      <c r="AB67" s="22"/>
      <c r="AC67" s="41"/>
      <c r="AD67" s="22"/>
    </row>
    <row r="68" spans="18:30" x14ac:dyDescent="0.25">
      <c r="R68" s="22"/>
      <c r="S68" s="22"/>
      <c r="T68" s="331"/>
      <c r="U68" s="22"/>
      <c r="V68" s="22"/>
      <c r="W68" s="22"/>
      <c r="X68" s="22"/>
      <c r="Y68" s="22"/>
      <c r="Z68" s="22"/>
      <c r="AA68" s="22"/>
      <c r="AB68" s="22"/>
      <c r="AC68" s="41"/>
      <c r="AD68" s="22"/>
    </row>
    <row r="69" spans="18:30" x14ac:dyDescent="0.25">
      <c r="R69" s="22"/>
      <c r="S69" s="22"/>
      <c r="T69" s="331"/>
      <c r="U69" s="22"/>
      <c r="V69" s="22"/>
      <c r="W69" s="22"/>
      <c r="X69" s="22"/>
      <c r="Y69" s="22"/>
      <c r="Z69" s="22"/>
      <c r="AA69" s="22"/>
      <c r="AB69" s="22"/>
      <c r="AC69" s="41"/>
      <c r="AD69" s="22"/>
    </row>
    <row r="70" spans="18:30" x14ac:dyDescent="0.25">
      <c r="R70" s="22"/>
      <c r="S70" s="22"/>
      <c r="T70" s="331"/>
      <c r="U70" s="22"/>
      <c r="V70" s="22"/>
      <c r="W70" s="22"/>
      <c r="X70" s="22"/>
      <c r="Y70" s="22"/>
      <c r="Z70" s="22"/>
      <c r="AA70" s="22"/>
      <c r="AB70" s="22"/>
      <c r="AC70" s="41"/>
      <c r="AD70" s="22"/>
    </row>
    <row r="71" spans="18:30" x14ac:dyDescent="0.25">
      <c r="R71" s="22"/>
      <c r="S71" s="22"/>
      <c r="T71" s="331"/>
      <c r="U71" s="22"/>
      <c r="V71" s="22"/>
      <c r="W71" s="22"/>
      <c r="X71" s="22"/>
      <c r="Y71" s="22"/>
      <c r="Z71" s="22"/>
      <c r="AA71" s="22"/>
      <c r="AB71" s="22"/>
      <c r="AC71" s="41"/>
      <c r="AD71" s="22"/>
    </row>
    <row r="72" spans="18:30" x14ac:dyDescent="0.25">
      <c r="R72" s="22"/>
      <c r="S72" s="22"/>
      <c r="T72" s="331"/>
      <c r="U72" s="22"/>
      <c r="V72" s="22"/>
      <c r="W72" s="22"/>
      <c r="X72" s="22"/>
      <c r="Y72" s="22"/>
      <c r="Z72" s="22"/>
      <c r="AA72" s="22"/>
      <c r="AB72" s="22"/>
      <c r="AC72" s="41"/>
      <c r="AD72" s="22"/>
    </row>
    <row r="73" spans="18:30" x14ac:dyDescent="0.25">
      <c r="R73" s="22"/>
      <c r="S73" s="22"/>
      <c r="T73" s="331"/>
      <c r="U73" s="22"/>
      <c r="V73" s="22"/>
      <c r="W73" s="22"/>
      <c r="X73" s="22"/>
      <c r="Y73" s="22"/>
      <c r="Z73" s="22"/>
      <c r="AA73" s="22"/>
      <c r="AB73" s="22"/>
      <c r="AC73" s="41"/>
      <c r="AD73" s="22"/>
    </row>
    <row r="74" spans="18:30" x14ac:dyDescent="0.25">
      <c r="R74" s="22"/>
      <c r="S74" s="22"/>
      <c r="T74" s="331"/>
      <c r="U74" s="22"/>
      <c r="V74" s="22"/>
      <c r="W74" s="22"/>
      <c r="X74" s="22"/>
      <c r="Y74" s="22"/>
      <c r="Z74" s="22"/>
      <c r="AA74" s="22"/>
      <c r="AB74" s="22"/>
      <c r="AC74" s="41"/>
      <c r="AD74" s="22"/>
    </row>
    <row r="75" spans="18:30" x14ac:dyDescent="0.25">
      <c r="R75" s="22"/>
      <c r="S75" s="22"/>
      <c r="T75" s="331"/>
      <c r="U75" s="22"/>
      <c r="V75" s="22"/>
      <c r="W75" s="22"/>
      <c r="X75" s="22"/>
      <c r="Y75" s="22"/>
      <c r="Z75" s="22"/>
      <c r="AA75" s="22"/>
      <c r="AB75" s="22"/>
      <c r="AC75" s="41"/>
      <c r="AD75" s="22"/>
    </row>
    <row r="76" spans="18:30" x14ac:dyDescent="0.25">
      <c r="R76" s="22"/>
      <c r="S76" s="22"/>
      <c r="T76" s="331"/>
      <c r="U76" s="22"/>
      <c r="V76" s="22"/>
      <c r="W76" s="22"/>
      <c r="X76" s="22"/>
      <c r="Y76" s="22"/>
      <c r="Z76" s="22"/>
      <c r="AA76" s="22"/>
      <c r="AB76" s="22"/>
      <c r="AC76" s="41"/>
      <c r="AD76" s="22"/>
    </row>
    <row r="77" spans="18:30" x14ac:dyDescent="0.25">
      <c r="R77" s="22"/>
      <c r="S77" s="22"/>
      <c r="T77" s="331"/>
      <c r="U77" s="22"/>
      <c r="V77" s="22"/>
      <c r="W77" s="22"/>
      <c r="X77" s="22"/>
      <c r="Y77" s="22"/>
      <c r="Z77" s="22"/>
      <c r="AA77" s="22"/>
      <c r="AB77" s="22"/>
      <c r="AC77" s="41"/>
      <c r="AD77" s="22"/>
    </row>
    <row r="78" spans="18:30" x14ac:dyDescent="0.25">
      <c r="R78" s="22"/>
      <c r="S78" s="22"/>
      <c r="T78" s="331"/>
      <c r="U78" s="22"/>
      <c r="V78" s="22"/>
      <c r="W78" s="22"/>
      <c r="X78" s="22"/>
      <c r="Y78" s="22"/>
      <c r="Z78" s="22"/>
      <c r="AA78" s="22"/>
      <c r="AB78" s="22"/>
      <c r="AC78" s="41"/>
      <c r="AD78" s="22"/>
    </row>
    <row r="79" spans="18:30" x14ac:dyDescent="0.25">
      <c r="R79" s="22"/>
      <c r="S79" s="22"/>
      <c r="T79" s="331"/>
      <c r="U79" s="22"/>
      <c r="V79" s="22"/>
      <c r="W79" s="22"/>
      <c r="X79" s="22"/>
      <c r="Y79" s="22"/>
      <c r="Z79" s="22"/>
      <c r="AA79" s="22"/>
      <c r="AB79" s="22"/>
      <c r="AC79" s="41"/>
      <c r="AD79" s="22"/>
    </row>
    <row r="80" spans="18:30" x14ac:dyDescent="0.25">
      <c r="R80" s="22"/>
      <c r="S80" s="22"/>
      <c r="T80" s="331"/>
      <c r="U80" s="22"/>
      <c r="V80" s="22"/>
      <c r="W80" s="22"/>
      <c r="X80" s="22"/>
      <c r="Y80" s="22"/>
      <c r="Z80" s="22"/>
      <c r="AA80" s="22"/>
      <c r="AB80" s="22"/>
      <c r="AC80" s="41"/>
      <c r="AD80" s="22"/>
    </row>
    <row r="81" spans="18:30" x14ac:dyDescent="0.25">
      <c r="R81" s="22"/>
      <c r="S81" s="22"/>
      <c r="T81" s="331"/>
      <c r="U81" s="22"/>
      <c r="V81" s="22"/>
      <c r="W81" s="22"/>
      <c r="X81" s="22"/>
      <c r="Y81" s="22"/>
      <c r="Z81" s="22"/>
      <c r="AA81" s="22"/>
      <c r="AB81" s="22"/>
      <c r="AC81" s="41"/>
      <c r="AD81" s="22"/>
    </row>
    <row r="82" spans="18:30" x14ac:dyDescent="0.25">
      <c r="R82" s="22"/>
      <c r="S82" s="22"/>
      <c r="T82" s="331"/>
      <c r="U82" s="22"/>
      <c r="V82" s="22"/>
      <c r="W82" s="22"/>
      <c r="X82" s="22"/>
      <c r="Y82" s="22"/>
      <c r="Z82" s="22"/>
      <c r="AA82" s="22"/>
      <c r="AB82" s="22"/>
      <c r="AC82" s="41"/>
      <c r="AD82" s="22"/>
    </row>
    <row r="83" spans="18:30" x14ac:dyDescent="0.25">
      <c r="R83" s="22"/>
      <c r="S83" s="22"/>
      <c r="T83" s="331"/>
      <c r="U83" s="22"/>
      <c r="V83" s="22"/>
      <c r="W83" s="22"/>
      <c r="X83" s="22"/>
      <c r="Y83" s="22"/>
      <c r="Z83" s="22"/>
      <c r="AA83" s="22"/>
      <c r="AB83" s="22"/>
      <c r="AC83" s="41"/>
      <c r="AD83" s="22"/>
    </row>
    <row r="84" spans="18:30" x14ac:dyDescent="0.25">
      <c r="R84" s="22"/>
      <c r="S84" s="22"/>
      <c r="T84" s="331"/>
      <c r="U84" s="22"/>
      <c r="V84" s="22"/>
      <c r="W84" s="22"/>
      <c r="X84" s="22"/>
      <c r="Y84" s="22"/>
      <c r="Z84" s="22"/>
      <c r="AA84" s="22"/>
      <c r="AB84" s="22"/>
      <c r="AC84" s="41"/>
      <c r="AD84" s="22"/>
    </row>
    <row r="85" spans="18:30" x14ac:dyDescent="0.25">
      <c r="R85" s="22"/>
      <c r="S85" s="22"/>
      <c r="T85" s="331"/>
      <c r="U85" s="22"/>
      <c r="V85" s="22"/>
      <c r="W85" s="22"/>
      <c r="X85" s="22"/>
      <c r="Y85" s="22"/>
      <c r="Z85" s="22"/>
      <c r="AA85" s="22"/>
      <c r="AB85" s="22"/>
      <c r="AC85" s="41"/>
      <c r="AD85" s="22"/>
    </row>
    <row r="86" spans="18:30" x14ac:dyDescent="0.25">
      <c r="R86" s="22"/>
      <c r="S86" s="22"/>
      <c r="T86" s="331"/>
      <c r="U86" s="22"/>
      <c r="V86" s="22"/>
      <c r="W86" s="22"/>
      <c r="X86" s="22"/>
      <c r="Y86" s="22"/>
      <c r="Z86" s="22"/>
      <c r="AA86" s="22"/>
      <c r="AB86" s="22"/>
      <c r="AC86" s="41"/>
      <c r="AD86" s="22"/>
    </row>
    <row r="87" spans="18:30" x14ac:dyDescent="0.25">
      <c r="R87" s="22"/>
      <c r="S87" s="22"/>
      <c r="T87" s="331"/>
      <c r="U87" s="22"/>
      <c r="V87" s="22"/>
      <c r="W87" s="22"/>
      <c r="X87" s="22"/>
      <c r="Y87" s="22"/>
      <c r="Z87" s="22"/>
      <c r="AA87" s="22"/>
      <c r="AB87" s="22"/>
      <c r="AC87" s="41"/>
      <c r="AD87" s="22"/>
    </row>
    <row r="88" spans="18:30" x14ac:dyDescent="0.25">
      <c r="R88" s="22"/>
      <c r="S88" s="22"/>
      <c r="T88" s="331"/>
      <c r="U88" s="22"/>
      <c r="V88" s="22"/>
      <c r="W88" s="22"/>
      <c r="X88" s="22"/>
      <c r="Y88" s="22"/>
      <c r="Z88" s="22"/>
      <c r="AA88" s="22"/>
      <c r="AB88" s="22"/>
      <c r="AC88" s="41"/>
      <c r="AD88" s="22"/>
    </row>
    <row r="89" spans="18:30" x14ac:dyDescent="0.25">
      <c r="R89" s="22"/>
      <c r="S89" s="22"/>
      <c r="T89" s="331"/>
      <c r="U89" s="22"/>
      <c r="V89" s="22"/>
      <c r="W89" s="22"/>
      <c r="X89" s="22"/>
      <c r="Y89" s="22"/>
      <c r="Z89" s="22"/>
      <c r="AA89" s="22"/>
      <c r="AB89" s="22"/>
      <c r="AC89" s="41"/>
      <c r="AD89" s="22"/>
    </row>
    <row r="90" spans="18:30" x14ac:dyDescent="0.25">
      <c r="R90" s="22"/>
      <c r="S90" s="22"/>
      <c r="T90" s="331"/>
      <c r="U90" s="22"/>
      <c r="V90" s="22"/>
      <c r="W90" s="22"/>
      <c r="X90" s="22"/>
      <c r="Y90" s="22"/>
      <c r="Z90" s="22"/>
      <c r="AA90" s="22"/>
      <c r="AB90" s="22"/>
      <c r="AC90" s="41"/>
      <c r="AD90" s="22"/>
    </row>
    <row r="91" spans="18:30" x14ac:dyDescent="0.25">
      <c r="R91" s="22"/>
      <c r="S91" s="22"/>
      <c r="T91" s="331"/>
      <c r="U91" s="22"/>
      <c r="V91" s="22"/>
      <c r="W91" s="22"/>
      <c r="X91" s="22"/>
      <c r="Y91" s="22"/>
      <c r="Z91" s="22"/>
      <c r="AA91" s="22"/>
      <c r="AB91" s="22"/>
      <c r="AC91" s="41"/>
      <c r="AD91" s="22"/>
    </row>
    <row r="92" spans="18:30" x14ac:dyDescent="0.25">
      <c r="R92" s="22"/>
      <c r="S92" s="22"/>
      <c r="T92" s="331"/>
      <c r="U92" s="22"/>
      <c r="V92" s="22"/>
      <c r="W92" s="22"/>
      <c r="X92" s="22"/>
      <c r="Y92" s="22"/>
      <c r="Z92" s="22"/>
      <c r="AA92" s="22"/>
      <c r="AB92" s="22"/>
      <c r="AC92" s="41"/>
      <c r="AD92" s="22"/>
    </row>
    <row r="93" spans="18:30" x14ac:dyDescent="0.25">
      <c r="R93" s="22"/>
      <c r="S93" s="22"/>
      <c r="T93" s="331"/>
      <c r="U93" s="22"/>
      <c r="V93" s="22"/>
      <c r="W93" s="22"/>
      <c r="X93" s="22"/>
      <c r="Y93" s="22"/>
      <c r="Z93" s="22"/>
      <c r="AA93" s="22"/>
      <c r="AB93" s="22"/>
      <c r="AC93" s="41"/>
      <c r="AD93" s="22"/>
    </row>
    <row r="94" spans="18:30" x14ac:dyDescent="0.25">
      <c r="R94" s="22"/>
      <c r="S94" s="22"/>
      <c r="T94" s="331"/>
      <c r="U94" s="22"/>
      <c r="V94" s="22"/>
      <c r="W94" s="22"/>
      <c r="X94" s="22"/>
      <c r="Y94" s="22"/>
      <c r="Z94" s="22"/>
      <c r="AA94" s="22"/>
      <c r="AB94" s="22"/>
      <c r="AC94" s="41"/>
      <c r="AD94" s="22"/>
    </row>
    <row r="95" spans="18:30" x14ac:dyDescent="0.25">
      <c r="R95" s="22"/>
      <c r="S95" s="22"/>
      <c r="T95" s="331"/>
      <c r="U95" s="22"/>
      <c r="V95" s="22"/>
      <c r="W95" s="22"/>
      <c r="X95" s="22"/>
      <c r="Y95" s="22"/>
      <c r="Z95" s="22"/>
      <c r="AA95" s="22"/>
      <c r="AB95" s="22"/>
      <c r="AC95" s="41"/>
      <c r="AD95" s="22"/>
    </row>
    <row r="96" spans="18:30" x14ac:dyDescent="0.25">
      <c r="R96" s="22"/>
      <c r="S96" s="22"/>
      <c r="T96" s="331"/>
      <c r="U96" s="22"/>
      <c r="V96" s="22"/>
      <c r="W96" s="22"/>
      <c r="X96" s="22"/>
      <c r="Y96" s="22"/>
      <c r="Z96" s="22"/>
      <c r="AA96" s="22"/>
      <c r="AB96" s="22"/>
      <c r="AC96" s="41"/>
      <c r="AD96" s="22"/>
    </row>
    <row r="97" spans="18:30" x14ac:dyDescent="0.25">
      <c r="R97" s="22"/>
      <c r="S97" s="22"/>
      <c r="T97" s="331"/>
      <c r="U97" s="22"/>
      <c r="V97" s="22"/>
      <c r="W97" s="22"/>
      <c r="X97" s="22"/>
      <c r="Y97" s="22"/>
      <c r="Z97" s="22"/>
      <c r="AA97" s="22"/>
      <c r="AB97" s="22"/>
      <c r="AC97" s="41"/>
      <c r="AD97" s="22"/>
    </row>
    <row r="98" spans="18:30" x14ac:dyDescent="0.25">
      <c r="R98" s="22"/>
      <c r="S98" s="22"/>
      <c r="T98" s="331"/>
      <c r="U98" s="22"/>
      <c r="V98" s="22"/>
      <c r="W98" s="22"/>
      <c r="X98" s="22"/>
      <c r="Y98" s="22"/>
      <c r="Z98" s="22"/>
      <c r="AA98" s="22"/>
      <c r="AB98" s="22"/>
      <c r="AC98" s="41"/>
      <c r="AD98" s="22"/>
    </row>
    <row r="99" spans="18:30" x14ac:dyDescent="0.25">
      <c r="R99" s="22"/>
      <c r="S99" s="22"/>
      <c r="T99" s="331"/>
      <c r="U99" s="22"/>
      <c r="V99" s="22"/>
      <c r="W99" s="22"/>
      <c r="X99" s="22"/>
      <c r="Y99" s="22"/>
      <c r="Z99" s="22"/>
      <c r="AA99" s="22"/>
      <c r="AB99" s="22"/>
      <c r="AC99" s="41"/>
      <c r="AD99" s="22"/>
    </row>
    <row r="100" spans="18:30" x14ac:dyDescent="0.25">
      <c r="R100" s="22"/>
      <c r="S100" s="22"/>
      <c r="T100" s="331"/>
      <c r="U100" s="22"/>
      <c r="V100" s="22"/>
      <c r="W100" s="22"/>
      <c r="X100" s="22"/>
      <c r="Y100" s="22"/>
      <c r="Z100" s="22"/>
      <c r="AA100" s="22"/>
      <c r="AB100" s="22"/>
      <c r="AC100" s="41"/>
      <c r="AD100" s="22"/>
    </row>
    <row r="101" spans="18:30" x14ac:dyDescent="0.25">
      <c r="R101" s="22"/>
      <c r="S101" s="22"/>
      <c r="T101" s="331"/>
      <c r="U101" s="22"/>
      <c r="V101" s="22"/>
      <c r="W101" s="22"/>
      <c r="X101" s="22"/>
      <c r="Y101" s="22"/>
      <c r="Z101" s="22"/>
      <c r="AA101" s="22"/>
      <c r="AB101" s="22"/>
      <c r="AC101" s="41"/>
      <c r="AD101" s="22"/>
    </row>
    <row r="102" spans="18:30" x14ac:dyDescent="0.25">
      <c r="R102" s="22"/>
      <c r="S102" s="22"/>
      <c r="T102" s="331"/>
      <c r="U102" s="22"/>
      <c r="V102" s="22"/>
      <c r="W102" s="22"/>
      <c r="X102" s="22"/>
      <c r="Y102" s="22"/>
      <c r="Z102" s="22"/>
      <c r="AA102" s="22"/>
      <c r="AB102" s="22"/>
      <c r="AC102" s="41"/>
      <c r="AD102" s="22"/>
    </row>
    <row r="103" spans="18:30" x14ac:dyDescent="0.25">
      <c r="R103" s="22"/>
      <c r="S103" s="22"/>
      <c r="T103" s="331"/>
      <c r="U103" s="22"/>
      <c r="V103" s="22"/>
      <c r="W103" s="22"/>
      <c r="X103" s="22"/>
      <c r="Y103" s="22"/>
      <c r="Z103" s="22"/>
      <c r="AA103" s="22"/>
      <c r="AB103" s="22"/>
      <c r="AC103" s="41"/>
      <c r="AD103" s="22"/>
    </row>
    <row r="104" spans="18:30" x14ac:dyDescent="0.25">
      <c r="R104" s="22"/>
      <c r="S104" s="22"/>
      <c r="T104" s="331"/>
      <c r="U104" s="22"/>
      <c r="V104" s="22"/>
      <c r="W104" s="22"/>
      <c r="X104" s="22"/>
      <c r="Y104" s="22"/>
      <c r="Z104" s="22"/>
      <c r="AA104" s="22"/>
      <c r="AB104" s="22"/>
      <c r="AC104" s="41"/>
      <c r="AD104" s="22"/>
    </row>
    <row r="105" spans="18:30" x14ac:dyDescent="0.25">
      <c r="R105" s="22"/>
      <c r="S105" s="22"/>
      <c r="T105" s="331"/>
      <c r="U105" s="22"/>
      <c r="V105" s="22"/>
      <c r="W105" s="22"/>
      <c r="X105" s="22"/>
      <c r="Y105" s="22"/>
      <c r="Z105" s="22"/>
      <c r="AA105" s="22"/>
      <c r="AB105" s="22"/>
      <c r="AC105" s="41"/>
      <c r="AD105" s="22"/>
    </row>
    <row r="106" spans="18:30" x14ac:dyDescent="0.25">
      <c r="R106" s="22"/>
      <c r="S106" s="22"/>
      <c r="T106" s="331"/>
      <c r="U106" s="22"/>
      <c r="V106" s="22"/>
      <c r="W106" s="22"/>
      <c r="X106" s="22"/>
      <c r="Y106" s="22"/>
      <c r="Z106" s="22"/>
      <c r="AA106" s="22"/>
      <c r="AB106" s="22"/>
      <c r="AC106" s="41"/>
      <c r="AD106" s="22"/>
    </row>
    <row r="107" spans="18:30" x14ac:dyDescent="0.25">
      <c r="R107" s="22"/>
      <c r="S107" s="22"/>
      <c r="T107" s="331"/>
      <c r="U107" s="22"/>
      <c r="V107" s="22"/>
      <c r="W107" s="22"/>
      <c r="X107" s="22"/>
      <c r="Y107" s="22"/>
      <c r="Z107" s="22"/>
      <c r="AA107" s="22"/>
      <c r="AB107" s="22"/>
      <c r="AC107" s="41"/>
      <c r="AD107" s="22"/>
    </row>
    <row r="108" spans="18:30" x14ac:dyDescent="0.25">
      <c r="R108" s="22"/>
      <c r="S108" s="22"/>
      <c r="T108" s="331"/>
      <c r="U108" s="22"/>
      <c r="V108" s="22"/>
      <c r="W108" s="22"/>
      <c r="X108" s="22"/>
      <c r="Y108" s="22"/>
      <c r="Z108" s="22"/>
      <c r="AA108" s="22"/>
      <c r="AB108" s="22"/>
      <c r="AC108" s="41"/>
      <c r="AD108" s="22"/>
    </row>
    <row r="109" spans="18:30" x14ac:dyDescent="0.25">
      <c r="R109" s="22"/>
      <c r="S109" s="22"/>
      <c r="T109" s="331"/>
      <c r="U109" s="22"/>
      <c r="V109" s="22"/>
      <c r="W109" s="22"/>
      <c r="X109" s="22"/>
      <c r="Y109" s="22"/>
      <c r="Z109" s="22"/>
      <c r="AA109" s="22"/>
      <c r="AB109" s="22"/>
      <c r="AC109" s="41"/>
      <c r="AD109" s="22"/>
    </row>
    <row r="110" spans="18:30" x14ac:dyDescent="0.25">
      <c r="R110" s="22"/>
      <c r="S110" s="22"/>
      <c r="T110" s="331"/>
      <c r="U110" s="22"/>
      <c r="V110" s="22"/>
      <c r="W110" s="22"/>
      <c r="X110" s="22"/>
      <c r="Y110" s="22"/>
      <c r="Z110" s="22"/>
      <c r="AA110" s="22"/>
      <c r="AB110" s="22"/>
      <c r="AC110" s="41"/>
      <c r="AD110" s="22"/>
    </row>
    <row r="111" spans="18:30" x14ac:dyDescent="0.25">
      <c r="R111" s="22"/>
      <c r="S111" s="22"/>
      <c r="T111" s="331"/>
      <c r="U111" s="22"/>
      <c r="V111" s="22"/>
      <c r="W111" s="22"/>
      <c r="X111" s="22"/>
      <c r="Y111" s="22"/>
      <c r="Z111" s="22"/>
      <c r="AA111" s="22"/>
      <c r="AB111" s="22"/>
      <c r="AC111" s="41"/>
      <c r="AD111" s="22"/>
    </row>
    <row r="112" spans="18:30" x14ac:dyDescent="0.25">
      <c r="R112" s="22"/>
      <c r="S112" s="22"/>
      <c r="T112" s="331"/>
      <c r="U112" s="22"/>
      <c r="V112" s="22"/>
      <c r="W112" s="22"/>
      <c r="X112" s="22"/>
      <c r="Y112" s="22"/>
      <c r="Z112" s="22"/>
      <c r="AA112" s="22"/>
      <c r="AB112" s="22"/>
      <c r="AC112" s="41"/>
      <c r="AD112" s="22"/>
    </row>
    <row r="113" spans="18:30" x14ac:dyDescent="0.25">
      <c r="R113" s="22"/>
      <c r="S113" s="22"/>
      <c r="T113" s="331"/>
      <c r="U113" s="22"/>
      <c r="V113" s="22"/>
      <c r="W113" s="22"/>
      <c r="X113" s="22"/>
      <c r="Y113" s="22"/>
      <c r="Z113" s="22"/>
      <c r="AA113" s="22"/>
      <c r="AB113" s="22"/>
      <c r="AC113" s="41"/>
      <c r="AD113" s="22"/>
    </row>
    <row r="114" spans="18:30" x14ac:dyDescent="0.25">
      <c r="R114" s="22"/>
      <c r="S114" s="22"/>
      <c r="T114" s="331"/>
      <c r="U114" s="22"/>
      <c r="V114" s="22"/>
      <c r="W114" s="22"/>
      <c r="X114" s="22"/>
      <c r="Y114" s="22"/>
      <c r="Z114" s="22"/>
      <c r="AA114" s="22"/>
      <c r="AB114" s="22"/>
      <c r="AC114" s="41"/>
      <c r="AD114" s="22"/>
    </row>
    <row r="115" spans="18:30" x14ac:dyDescent="0.25">
      <c r="R115" s="22"/>
      <c r="S115" s="22"/>
      <c r="T115" s="331"/>
      <c r="U115" s="22"/>
      <c r="V115" s="22"/>
      <c r="W115" s="22"/>
      <c r="X115" s="22"/>
      <c r="Y115" s="22"/>
      <c r="Z115" s="22"/>
      <c r="AA115" s="22"/>
      <c r="AB115" s="22"/>
      <c r="AC115" s="41"/>
      <c r="AD115" s="22"/>
    </row>
    <row r="116" spans="18:30" x14ac:dyDescent="0.25">
      <c r="R116" s="22"/>
      <c r="S116" s="22"/>
      <c r="T116" s="331"/>
      <c r="U116" s="22"/>
      <c r="V116" s="22"/>
      <c r="W116" s="22"/>
      <c r="X116" s="22"/>
      <c r="Y116" s="22"/>
      <c r="Z116" s="22"/>
      <c r="AA116" s="22"/>
      <c r="AB116" s="22"/>
      <c r="AC116" s="41"/>
      <c r="AD116" s="22"/>
    </row>
    <row r="117" spans="18:30" x14ac:dyDescent="0.25">
      <c r="R117" s="22"/>
      <c r="S117" s="22"/>
      <c r="T117" s="331"/>
      <c r="U117" s="22"/>
      <c r="V117" s="22"/>
      <c r="W117" s="22"/>
      <c r="X117" s="22"/>
      <c r="Y117" s="22"/>
      <c r="Z117" s="22"/>
      <c r="AA117" s="22"/>
      <c r="AB117" s="22"/>
      <c r="AC117" s="41"/>
      <c r="AD117" s="22"/>
    </row>
    <row r="118" spans="18:30" x14ac:dyDescent="0.25">
      <c r="R118" s="22"/>
      <c r="S118" s="22"/>
      <c r="T118" s="331"/>
      <c r="U118" s="22"/>
      <c r="V118" s="22"/>
      <c r="W118" s="22"/>
      <c r="X118" s="22"/>
      <c r="Y118" s="22"/>
      <c r="Z118" s="22"/>
      <c r="AA118" s="22"/>
      <c r="AB118" s="22"/>
      <c r="AC118" s="41"/>
      <c r="AD118" s="22"/>
    </row>
    <row r="119" spans="18:30" x14ac:dyDescent="0.25">
      <c r="R119" s="22"/>
      <c r="S119" s="22"/>
      <c r="T119" s="331"/>
      <c r="U119" s="22"/>
      <c r="V119" s="22"/>
      <c r="W119" s="22"/>
      <c r="X119" s="22"/>
      <c r="Y119" s="22"/>
      <c r="Z119" s="22"/>
      <c r="AA119" s="22"/>
      <c r="AB119" s="22"/>
      <c r="AC119" s="41"/>
      <c r="AD119" s="22"/>
    </row>
    <row r="120" spans="18:30" x14ac:dyDescent="0.25">
      <c r="R120" s="22"/>
      <c r="S120" s="22"/>
      <c r="T120" s="331"/>
      <c r="U120" s="22"/>
      <c r="V120" s="22"/>
      <c r="W120" s="22"/>
      <c r="X120" s="22"/>
      <c r="Y120" s="22"/>
      <c r="Z120" s="22"/>
      <c r="AA120" s="22"/>
      <c r="AB120" s="22"/>
      <c r="AC120" s="41"/>
      <c r="AD120" s="22"/>
    </row>
    <row r="121" spans="18:30" x14ac:dyDescent="0.25">
      <c r="R121" s="22"/>
      <c r="S121" s="22"/>
      <c r="T121" s="331"/>
      <c r="U121" s="22"/>
      <c r="V121" s="22"/>
      <c r="W121" s="22"/>
      <c r="X121" s="22"/>
      <c r="Y121" s="22"/>
      <c r="Z121" s="22"/>
      <c r="AA121" s="22"/>
      <c r="AB121" s="22"/>
      <c r="AC121" s="41"/>
      <c r="AD121" s="22"/>
    </row>
    <row r="122" spans="18:30" x14ac:dyDescent="0.25">
      <c r="R122" s="22"/>
      <c r="S122" s="22"/>
      <c r="T122" s="331"/>
      <c r="U122" s="22"/>
      <c r="V122" s="22"/>
      <c r="W122" s="22"/>
      <c r="X122" s="22"/>
      <c r="Y122" s="22"/>
      <c r="Z122" s="22"/>
      <c r="AA122" s="22"/>
      <c r="AB122" s="22"/>
      <c r="AC122" s="41"/>
      <c r="AD122" s="22"/>
    </row>
    <row r="123" spans="18:30" x14ac:dyDescent="0.25">
      <c r="R123" s="22"/>
      <c r="S123" s="22"/>
      <c r="T123" s="331"/>
      <c r="U123" s="22"/>
      <c r="V123" s="22"/>
      <c r="W123" s="22"/>
      <c r="X123" s="22"/>
      <c r="Y123" s="22"/>
      <c r="Z123" s="22"/>
      <c r="AA123" s="22"/>
      <c r="AB123" s="22"/>
      <c r="AC123" s="41"/>
      <c r="AD123" s="22"/>
    </row>
    <row r="124" spans="18:30" x14ac:dyDescent="0.25">
      <c r="R124" s="22"/>
      <c r="S124" s="22"/>
      <c r="T124" s="331"/>
      <c r="U124" s="22"/>
      <c r="V124" s="22"/>
      <c r="W124" s="22"/>
      <c r="X124" s="22"/>
      <c r="Y124" s="22"/>
      <c r="Z124" s="22"/>
      <c r="AA124" s="22"/>
      <c r="AB124" s="22"/>
      <c r="AC124" s="41"/>
      <c r="AD124" s="22"/>
    </row>
    <row r="125" spans="18:30" x14ac:dyDescent="0.25">
      <c r="R125" s="22"/>
      <c r="S125" s="22"/>
      <c r="T125" s="331"/>
      <c r="U125" s="22"/>
      <c r="V125" s="22"/>
      <c r="W125" s="22"/>
      <c r="X125" s="22"/>
      <c r="Y125" s="22"/>
      <c r="Z125" s="22"/>
      <c r="AA125" s="22"/>
      <c r="AB125" s="22"/>
      <c r="AC125" s="41"/>
      <c r="AD125" s="22"/>
    </row>
    <row r="126" spans="18:30" x14ac:dyDescent="0.25">
      <c r="R126" s="22"/>
      <c r="S126" s="22"/>
      <c r="T126" s="331"/>
      <c r="U126" s="22"/>
      <c r="V126" s="22"/>
      <c r="W126" s="22"/>
      <c r="X126" s="22"/>
      <c r="Y126" s="22"/>
      <c r="Z126" s="22"/>
      <c r="AA126" s="22"/>
      <c r="AB126" s="22"/>
      <c r="AC126" s="41"/>
      <c r="AD126" s="22"/>
    </row>
    <row r="127" spans="18:30" x14ac:dyDescent="0.25">
      <c r="R127" s="22"/>
      <c r="S127" s="22"/>
      <c r="T127" s="331"/>
      <c r="U127" s="22"/>
      <c r="V127" s="22"/>
      <c r="W127" s="22"/>
      <c r="X127" s="22"/>
      <c r="Y127" s="22"/>
      <c r="Z127" s="22"/>
      <c r="AA127" s="22"/>
      <c r="AB127" s="22"/>
      <c r="AC127" s="41"/>
      <c r="AD127" s="22"/>
    </row>
    <row r="128" spans="18:30" x14ac:dyDescent="0.25">
      <c r="R128" s="22"/>
      <c r="S128" s="22"/>
      <c r="T128" s="331"/>
      <c r="U128" s="22"/>
      <c r="V128" s="22"/>
      <c r="W128" s="22"/>
      <c r="X128" s="22"/>
      <c r="Y128" s="22"/>
      <c r="Z128" s="22"/>
      <c r="AA128" s="22"/>
      <c r="AB128" s="22"/>
      <c r="AC128" s="41"/>
      <c r="AD128" s="22"/>
    </row>
    <row r="129" spans="18:30" x14ac:dyDescent="0.25">
      <c r="R129" s="22"/>
      <c r="S129" s="22"/>
      <c r="T129" s="331"/>
      <c r="U129" s="22"/>
      <c r="V129" s="22"/>
      <c r="W129" s="22"/>
      <c r="X129" s="22"/>
      <c r="Y129" s="22"/>
      <c r="Z129" s="22"/>
      <c r="AA129" s="22"/>
      <c r="AB129" s="22"/>
      <c r="AC129" s="41"/>
      <c r="AD129" s="22"/>
    </row>
    <row r="130" spans="18:30" x14ac:dyDescent="0.25">
      <c r="R130" s="22"/>
      <c r="S130" s="22"/>
      <c r="T130" s="331"/>
      <c r="U130" s="22"/>
      <c r="V130" s="22"/>
      <c r="W130" s="22"/>
      <c r="X130" s="22"/>
      <c r="Y130" s="22"/>
      <c r="Z130" s="22"/>
      <c r="AA130" s="22"/>
      <c r="AB130" s="22"/>
      <c r="AC130" s="41"/>
      <c r="AD130" s="22"/>
    </row>
    <row r="131" spans="18:30" x14ac:dyDescent="0.25">
      <c r="R131" s="22"/>
      <c r="S131" s="22"/>
      <c r="T131" s="331"/>
      <c r="U131" s="22"/>
      <c r="V131" s="22"/>
      <c r="W131" s="22"/>
      <c r="X131" s="22"/>
      <c r="Y131" s="22"/>
      <c r="Z131" s="22"/>
      <c r="AA131" s="22"/>
      <c r="AB131" s="22"/>
      <c r="AC131" s="41"/>
      <c r="AD131" s="22"/>
    </row>
    <row r="132" spans="18:30" x14ac:dyDescent="0.25">
      <c r="R132" s="22"/>
      <c r="S132" s="22"/>
      <c r="T132" s="331"/>
      <c r="U132" s="22"/>
      <c r="V132" s="22"/>
      <c r="W132" s="22"/>
      <c r="X132" s="22"/>
      <c r="Y132" s="22"/>
      <c r="Z132" s="22"/>
      <c r="AA132" s="22"/>
      <c r="AB132" s="22"/>
      <c r="AC132" s="41"/>
      <c r="AD132" s="22"/>
    </row>
    <row r="133" spans="18:30" x14ac:dyDescent="0.25">
      <c r="R133" s="22"/>
      <c r="S133" s="22"/>
      <c r="T133" s="331"/>
      <c r="U133" s="22"/>
      <c r="V133" s="22"/>
      <c r="W133" s="22"/>
      <c r="X133" s="22"/>
      <c r="Y133" s="22"/>
      <c r="Z133" s="22"/>
      <c r="AA133" s="22"/>
      <c r="AB133" s="22"/>
      <c r="AC133" s="41"/>
      <c r="AD133" s="22"/>
    </row>
    <row r="134" spans="18:30" x14ac:dyDescent="0.25">
      <c r="R134" s="22"/>
      <c r="S134" s="22"/>
      <c r="T134" s="331"/>
      <c r="U134" s="22"/>
      <c r="V134" s="22"/>
      <c r="W134" s="22"/>
      <c r="X134" s="22"/>
      <c r="Y134" s="22"/>
      <c r="Z134" s="22"/>
      <c r="AA134" s="22"/>
      <c r="AB134" s="22"/>
      <c r="AC134" s="41"/>
      <c r="AD134" s="22"/>
    </row>
    <row r="135" spans="18:30" x14ac:dyDescent="0.25">
      <c r="R135" s="22"/>
      <c r="S135" s="22"/>
      <c r="T135" s="331"/>
      <c r="U135" s="22"/>
      <c r="V135" s="22"/>
      <c r="W135" s="22"/>
      <c r="X135" s="22"/>
      <c r="Y135" s="22"/>
      <c r="Z135" s="22"/>
      <c r="AA135" s="22"/>
      <c r="AB135" s="22"/>
      <c r="AC135" s="41"/>
      <c r="AD135" s="22"/>
    </row>
    <row r="136" spans="18:30" x14ac:dyDescent="0.25">
      <c r="R136" s="22"/>
      <c r="S136" s="22"/>
      <c r="T136" s="331"/>
      <c r="U136" s="22"/>
      <c r="V136" s="22"/>
      <c r="W136" s="22"/>
      <c r="X136" s="22"/>
      <c r="Y136" s="22"/>
      <c r="Z136" s="22"/>
      <c r="AA136" s="22"/>
      <c r="AB136" s="22"/>
      <c r="AC136" s="41"/>
      <c r="AD136" s="22"/>
    </row>
    <row r="137" spans="18:30" x14ac:dyDescent="0.25">
      <c r="R137" s="22"/>
      <c r="S137" s="22"/>
      <c r="T137" s="331"/>
      <c r="U137" s="22"/>
      <c r="V137" s="22"/>
      <c r="W137" s="22"/>
      <c r="X137" s="22"/>
      <c r="Y137" s="22"/>
      <c r="Z137" s="22"/>
      <c r="AA137" s="22"/>
      <c r="AB137" s="22"/>
      <c r="AC137" s="41"/>
      <c r="AD137" s="22"/>
    </row>
    <row r="138" spans="18:30" x14ac:dyDescent="0.25">
      <c r="R138" s="22"/>
      <c r="S138" s="22"/>
      <c r="T138" s="331"/>
      <c r="U138" s="22"/>
      <c r="V138" s="22"/>
      <c r="W138" s="22"/>
      <c r="X138" s="22"/>
      <c r="Y138" s="22"/>
      <c r="Z138" s="22"/>
      <c r="AA138" s="22"/>
      <c r="AB138" s="22"/>
      <c r="AC138" s="41"/>
      <c r="AD138" s="22"/>
    </row>
    <row r="139" spans="18:30" x14ac:dyDescent="0.25">
      <c r="R139" s="22"/>
      <c r="S139" s="22"/>
      <c r="T139" s="331"/>
      <c r="U139" s="22"/>
      <c r="V139" s="22"/>
      <c r="W139" s="22"/>
      <c r="X139" s="22"/>
      <c r="Y139" s="22"/>
      <c r="Z139" s="22"/>
      <c r="AA139" s="22"/>
      <c r="AB139" s="22"/>
      <c r="AC139" s="41"/>
      <c r="AD139" s="22"/>
    </row>
    <row r="140" spans="18:30" x14ac:dyDescent="0.25">
      <c r="R140" s="22"/>
      <c r="S140" s="22"/>
      <c r="T140" s="331"/>
      <c r="U140" s="22"/>
      <c r="V140" s="22"/>
      <c r="W140" s="22"/>
      <c r="X140" s="22"/>
      <c r="Y140" s="22"/>
      <c r="Z140" s="22"/>
      <c r="AA140" s="22"/>
      <c r="AB140" s="22"/>
      <c r="AC140" s="41"/>
      <c r="AD140" s="22"/>
    </row>
    <row r="141" spans="18:30" x14ac:dyDescent="0.25">
      <c r="R141" s="22"/>
      <c r="S141" s="22"/>
      <c r="T141" s="331"/>
      <c r="U141" s="22"/>
      <c r="V141" s="22"/>
      <c r="W141" s="22"/>
      <c r="X141" s="22"/>
      <c r="Y141" s="22"/>
      <c r="Z141" s="22"/>
      <c r="AA141" s="22"/>
      <c r="AB141" s="22"/>
      <c r="AC141" s="41"/>
      <c r="AD141" s="22"/>
    </row>
    <row r="142" spans="18:30" x14ac:dyDescent="0.25">
      <c r="R142" s="22"/>
      <c r="S142" s="22"/>
      <c r="T142" s="331"/>
      <c r="U142" s="22"/>
      <c r="V142" s="22"/>
      <c r="W142" s="22"/>
      <c r="X142" s="22"/>
      <c r="Y142" s="22"/>
      <c r="Z142" s="22"/>
      <c r="AA142" s="22"/>
      <c r="AB142" s="22"/>
      <c r="AC142" s="41"/>
      <c r="AD142" s="22"/>
    </row>
    <row r="143" spans="18:30" x14ac:dyDescent="0.25">
      <c r="R143" s="22"/>
      <c r="S143" s="22"/>
      <c r="T143" s="331"/>
      <c r="U143" s="22"/>
      <c r="V143" s="22"/>
      <c r="W143" s="22"/>
      <c r="X143" s="22"/>
      <c r="Y143" s="22"/>
      <c r="Z143" s="22"/>
      <c r="AA143" s="22"/>
      <c r="AB143" s="22"/>
      <c r="AC143" s="41"/>
      <c r="AD143" s="22"/>
    </row>
    <row r="144" spans="18:30" x14ac:dyDescent="0.25">
      <c r="R144" s="22"/>
      <c r="S144" s="22"/>
      <c r="T144" s="331"/>
      <c r="U144" s="22"/>
      <c r="V144" s="22"/>
      <c r="W144" s="22"/>
      <c r="X144" s="22"/>
      <c r="Y144" s="22"/>
      <c r="Z144" s="22"/>
      <c r="AA144" s="22"/>
      <c r="AB144" s="22"/>
      <c r="AC144" s="41"/>
      <c r="AD144" s="22"/>
    </row>
    <row r="145" spans="18:30" x14ac:dyDescent="0.25">
      <c r="R145" s="22"/>
      <c r="S145" s="22"/>
      <c r="T145" s="331"/>
      <c r="U145" s="22"/>
      <c r="V145" s="22"/>
      <c r="W145" s="22"/>
      <c r="X145" s="22"/>
      <c r="Y145" s="22"/>
      <c r="Z145" s="22"/>
      <c r="AA145" s="22"/>
      <c r="AB145" s="22"/>
      <c r="AC145" s="41"/>
      <c r="AD145" s="22"/>
    </row>
    <row r="146" spans="18:30" x14ac:dyDescent="0.25">
      <c r="R146" s="22"/>
      <c r="S146" s="22"/>
      <c r="T146" s="331"/>
      <c r="U146" s="22"/>
      <c r="V146" s="22"/>
      <c r="W146" s="22"/>
      <c r="X146" s="22"/>
      <c r="Y146" s="22"/>
      <c r="Z146" s="22"/>
      <c r="AA146" s="22"/>
      <c r="AB146" s="22"/>
      <c r="AC146" s="41"/>
      <c r="AD146" s="22"/>
    </row>
    <row r="147" spans="18:30" x14ac:dyDescent="0.25">
      <c r="R147" s="22"/>
      <c r="S147" s="22"/>
      <c r="T147" s="331"/>
      <c r="U147" s="22"/>
      <c r="V147" s="22"/>
      <c r="W147" s="22"/>
      <c r="X147" s="22"/>
      <c r="Y147" s="22"/>
      <c r="Z147" s="22"/>
      <c r="AA147" s="22"/>
      <c r="AB147" s="22"/>
      <c r="AC147" s="41"/>
      <c r="AD147" s="22"/>
    </row>
    <row r="148" spans="18:30" x14ac:dyDescent="0.25">
      <c r="R148" s="22"/>
      <c r="S148" s="22"/>
      <c r="T148" s="331"/>
      <c r="U148" s="22"/>
      <c r="V148" s="22"/>
      <c r="W148" s="22"/>
      <c r="X148" s="22"/>
      <c r="Y148" s="22"/>
      <c r="Z148" s="22"/>
      <c r="AA148" s="22"/>
      <c r="AB148" s="22"/>
      <c r="AC148" s="41"/>
      <c r="AD148" s="22"/>
    </row>
    <row r="149" spans="18:30" x14ac:dyDescent="0.25">
      <c r="R149" s="22"/>
      <c r="S149" s="22"/>
      <c r="T149" s="331"/>
      <c r="U149" s="22"/>
      <c r="V149" s="22"/>
      <c r="W149" s="22"/>
      <c r="X149" s="22"/>
      <c r="Y149" s="22"/>
      <c r="Z149" s="22"/>
      <c r="AA149" s="22"/>
      <c r="AB149" s="22"/>
      <c r="AC149" s="41"/>
      <c r="AD149" s="22"/>
    </row>
    <row r="150" spans="18:30" x14ac:dyDescent="0.25">
      <c r="R150" s="22"/>
      <c r="S150" s="22"/>
      <c r="T150" s="331"/>
      <c r="U150" s="22"/>
      <c r="V150" s="22"/>
      <c r="W150" s="22"/>
      <c r="X150" s="22"/>
      <c r="Y150" s="22"/>
      <c r="Z150" s="22"/>
      <c r="AA150" s="22"/>
      <c r="AB150" s="22"/>
      <c r="AC150" s="41"/>
      <c r="AD150" s="22"/>
    </row>
    <row r="151" spans="18:30" x14ac:dyDescent="0.25">
      <c r="R151" s="22"/>
      <c r="S151" s="22"/>
      <c r="T151" s="331"/>
      <c r="U151" s="22"/>
      <c r="V151" s="22"/>
      <c r="W151" s="22"/>
      <c r="X151" s="22"/>
      <c r="Y151" s="22"/>
      <c r="Z151" s="22"/>
      <c r="AA151" s="22"/>
      <c r="AB151" s="22"/>
      <c r="AC151" s="41"/>
      <c r="AD151" s="22"/>
    </row>
    <row r="152" spans="18:30" x14ac:dyDescent="0.25">
      <c r="R152" s="22"/>
      <c r="S152" s="22"/>
      <c r="T152" s="331"/>
      <c r="U152" s="22"/>
      <c r="V152" s="22"/>
      <c r="W152" s="22"/>
      <c r="X152" s="22"/>
      <c r="Y152" s="22"/>
      <c r="Z152" s="22"/>
      <c r="AA152" s="22"/>
      <c r="AB152" s="22"/>
      <c r="AC152" s="41"/>
      <c r="AD152" s="22"/>
    </row>
    <row r="153" spans="18:30" x14ac:dyDescent="0.25">
      <c r="R153" s="22"/>
      <c r="S153" s="22"/>
      <c r="T153" s="331"/>
      <c r="U153" s="22"/>
      <c r="V153" s="22"/>
      <c r="W153" s="22"/>
      <c r="X153" s="22"/>
      <c r="Y153" s="22"/>
      <c r="Z153" s="22"/>
      <c r="AA153" s="22"/>
      <c r="AB153" s="22"/>
      <c r="AC153" s="41"/>
      <c r="AD153" s="22"/>
    </row>
    <row r="154" spans="18:30" x14ac:dyDescent="0.25">
      <c r="R154" s="22"/>
      <c r="S154" s="22"/>
      <c r="T154" s="331"/>
      <c r="U154" s="22"/>
      <c r="V154" s="22"/>
      <c r="W154" s="22"/>
      <c r="X154" s="22"/>
      <c r="Y154" s="22"/>
      <c r="Z154" s="22"/>
      <c r="AA154" s="22"/>
      <c r="AB154" s="22"/>
      <c r="AC154" s="41"/>
      <c r="AD154" s="22"/>
    </row>
    <row r="155" spans="18:30" x14ac:dyDescent="0.25">
      <c r="R155" s="22"/>
      <c r="S155" s="22"/>
      <c r="T155" s="331"/>
      <c r="U155" s="22"/>
      <c r="V155" s="22"/>
      <c r="W155" s="22"/>
      <c r="X155" s="22"/>
      <c r="Y155" s="22"/>
      <c r="Z155" s="22"/>
      <c r="AA155" s="22"/>
      <c r="AB155" s="22"/>
      <c r="AC155" s="41"/>
      <c r="AD155" s="22"/>
    </row>
    <row r="156" spans="18:30" x14ac:dyDescent="0.25">
      <c r="R156" s="22"/>
      <c r="S156" s="22"/>
      <c r="T156" s="331"/>
      <c r="U156" s="22"/>
      <c r="V156" s="22"/>
      <c r="W156" s="22"/>
      <c r="X156" s="22"/>
      <c r="Y156" s="22"/>
      <c r="Z156" s="22"/>
      <c r="AA156" s="22"/>
      <c r="AB156" s="22"/>
      <c r="AC156" s="41"/>
      <c r="AD156" s="22"/>
    </row>
    <row r="157" spans="18:30" x14ac:dyDescent="0.25">
      <c r="R157" s="22"/>
      <c r="S157" s="22"/>
      <c r="T157" s="331"/>
      <c r="U157" s="22"/>
      <c r="V157" s="22"/>
      <c r="W157" s="22"/>
      <c r="X157" s="22"/>
      <c r="Y157" s="22"/>
      <c r="Z157" s="22"/>
      <c r="AA157" s="22"/>
      <c r="AB157" s="22"/>
      <c r="AC157" s="41"/>
      <c r="AD157" s="22"/>
    </row>
    <row r="158" spans="18:30" x14ac:dyDescent="0.25">
      <c r="R158" s="22"/>
      <c r="S158" s="22"/>
      <c r="T158" s="331"/>
      <c r="U158" s="22"/>
      <c r="V158" s="22"/>
      <c r="W158" s="22"/>
      <c r="X158" s="22"/>
      <c r="Y158" s="22"/>
      <c r="Z158" s="22"/>
      <c r="AA158" s="22"/>
      <c r="AB158" s="22"/>
      <c r="AC158" s="41"/>
      <c r="AD158" s="22"/>
    </row>
    <row r="159" spans="18:30" x14ac:dyDescent="0.25">
      <c r="R159" s="22"/>
      <c r="S159" s="22"/>
      <c r="T159" s="331"/>
      <c r="U159" s="22"/>
      <c r="V159" s="22"/>
      <c r="W159" s="22"/>
      <c r="X159" s="22"/>
      <c r="Y159" s="22"/>
      <c r="Z159" s="22"/>
      <c r="AA159" s="22"/>
      <c r="AB159" s="22"/>
      <c r="AC159" s="41"/>
      <c r="AD159" s="22"/>
    </row>
    <row r="160" spans="18:30" x14ac:dyDescent="0.25">
      <c r="R160" s="22"/>
      <c r="S160" s="22"/>
      <c r="T160" s="331"/>
      <c r="U160" s="22"/>
      <c r="V160" s="22"/>
      <c r="W160" s="22"/>
      <c r="X160" s="22"/>
      <c r="Y160" s="22"/>
      <c r="Z160" s="22"/>
      <c r="AA160" s="22"/>
      <c r="AB160" s="22"/>
      <c r="AC160" s="41"/>
      <c r="AD160" s="22"/>
    </row>
    <row r="161" spans="18:30" x14ac:dyDescent="0.25">
      <c r="R161" s="22"/>
      <c r="S161" s="22"/>
      <c r="T161" s="331"/>
      <c r="U161" s="22"/>
      <c r="V161" s="22"/>
      <c r="W161" s="22"/>
      <c r="X161" s="22"/>
      <c r="Y161" s="22"/>
      <c r="Z161" s="22"/>
      <c r="AA161" s="22"/>
      <c r="AB161" s="22"/>
      <c r="AC161" s="41"/>
      <c r="AD161" s="22"/>
    </row>
    <row r="162" spans="18:30" x14ac:dyDescent="0.25">
      <c r="R162" s="22"/>
      <c r="S162" s="22"/>
      <c r="T162" s="331"/>
      <c r="U162" s="22"/>
      <c r="V162" s="22"/>
      <c r="W162" s="22"/>
      <c r="X162" s="22"/>
      <c r="Y162" s="22"/>
      <c r="Z162" s="22"/>
      <c r="AA162" s="22"/>
      <c r="AB162" s="22"/>
      <c r="AC162" s="41"/>
      <c r="AD162" s="22"/>
    </row>
    <row r="163" spans="18:30" x14ac:dyDescent="0.25">
      <c r="R163" s="22"/>
      <c r="S163" s="22"/>
      <c r="T163" s="331"/>
      <c r="U163" s="22"/>
      <c r="V163" s="22"/>
      <c r="W163" s="22"/>
      <c r="X163" s="22"/>
      <c r="Y163" s="22"/>
      <c r="Z163" s="22"/>
      <c r="AA163" s="22"/>
      <c r="AB163" s="22"/>
      <c r="AC163" s="41"/>
      <c r="AD163" s="22"/>
    </row>
    <row r="164" spans="18:30" x14ac:dyDescent="0.25">
      <c r="R164" s="22"/>
      <c r="S164" s="22"/>
      <c r="T164" s="331"/>
      <c r="U164" s="22"/>
      <c r="V164" s="22"/>
      <c r="W164" s="22"/>
      <c r="X164" s="22"/>
      <c r="Y164" s="22"/>
      <c r="Z164" s="22"/>
      <c r="AA164" s="22"/>
      <c r="AB164" s="22"/>
      <c r="AC164" s="41"/>
      <c r="AD164" s="22"/>
    </row>
    <row r="165" spans="18:30" x14ac:dyDescent="0.25">
      <c r="R165" s="22"/>
      <c r="S165" s="22"/>
      <c r="T165" s="331"/>
      <c r="U165" s="22"/>
      <c r="V165" s="22"/>
      <c r="W165" s="22"/>
      <c r="X165" s="22"/>
      <c r="Y165" s="22"/>
      <c r="Z165" s="22"/>
      <c r="AA165" s="22"/>
      <c r="AB165" s="22"/>
      <c r="AC165" s="41"/>
      <c r="AD165" s="22"/>
    </row>
    <row r="166" spans="18:30" x14ac:dyDescent="0.25">
      <c r="R166" s="22"/>
      <c r="S166" s="22"/>
      <c r="T166" s="331"/>
      <c r="U166" s="22"/>
      <c r="V166" s="22"/>
      <c r="W166" s="22"/>
      <c r="X166" s="22"/>
      <c r="Y166" s="22"/>
      <c r="Z166" s="22"/>
      <c r="AA166" s="22"/>
      <c r="AB166" s="22"/>
      <c r="AC166" s="41"/>
      <c r="AD166" s="22"/>
    </row>
    <row r="167" spans="18:30" x14ac:dyDescent="0.25">
      <c r="R167" s="22"/>
      <c r="S167" s="22"/>
      <c r="T167" s="331"/>
      <c r="U167" s="22"/>
      <c r="V167" s="22"/>
      <c r="W167" s="22"/>
      <c r="X167" s="22"/>
      <c r="Y167" s="22"/>
      <c r="Z167" s="22"/>
      <c r="AA167" s="22"/>
      <c r="AB167" s="22"/>
      <c r="AC167" s="41"/>
      <c r="AD167" s="22"/>
    </row>
    <row r="168" spans="18:30" x14ac:dyDescent="0.25">
      <c r="R168" s="22"/>
      <c r="S168" s="22"/>
      <c r="T168" s="331"/>
      <c r="U168" s="22"/>
      <c r="V168" s="22"/>
      <c r="W168" s="22"/>
      <c r="X168" s="22"/>
      <c r="Y168" s="22"/>
      <c r="Z168" s="22"/>
      <c r="AA168" s="22"/>
      <c r="AB168" s="22"/>
      <c r="AC168" s="41"/>
      <c r="AD168" s="22"/>
    </row>
    <row r="169" spans="18:30" x14ac:dyDescent="0.25">
      <c r="R169" s="22"/>
      <c r="S169" s="22"/>
      <c r="T169" s="331"/>
      <c r="U169" s="22"/>
      <c r="V169" s="22"/>
      <c r="W169" s="22"/>
      <c r="X169" s="22"/>
      <c r="Y169" s="22"/>
      <c r="Z169" s="22"/>
      <c r="AA169" s="22"/>
      <c r="AB169" s="22"/>
      <c r="AC169" s="41"/>
      <c r="AD169" s="22"/>
    </row>
    <row r="170" spans="18:30" x14ac:dyDescent="0.25">
      <c r="R170" s="22"/>
      <c r="S170" s="22"/>
      <c r="T170" s="331"/>
      <c r="U170" s="22"/>
      <c r="V170" s="22"/>
      <c r="W170" s="22"/>
      <c r="X170" s="22"/>
      <c r="Y170" s="22"/>
      <c r="Z170" s="22"/>
      <c r="AA170" s="22"/>
      <c r="AB170" s="22"/>
      <c r="AC170" s="41"/>
      <c r="AD170" s="22"/>
    </row>
    <row r="171" spans="18:30" x14ac:dyDescent="0.25">
      <c r="R171" s="22"/>
      <c r="S171" s="22"/>
      <c r="T171" s="331"/>
      <c r="U171" s="22"/>
      <c r="V171" s="22"/>
      <c r="W171" s="22"/>
      <c r="X171" s="22"/>
      <c r="Y171" s="22"/>
      <c r="Z171" s="22"/>
      <c r="AA171" s="22"/>
      <c r="AB171" s="22"/>
      <c r="AC171" s="41"/>
      <c r="AD171" s="22"/>
    </row>
    <row r="172" spans="18:30" x14ac:dyDescent="0.25">
      <c r="R172" s="22"/>
      <c r="S172" s="22"/>
      <c r="T172" s="331"/>
      <c r="U172" s="22"/>
      <c r="V172" s="22"/>
      <c r="W172" s="22"/>
      <c r="X172" s="22"/>
      <c r="Y172" s="22"/>
      <c r="Z172" s="22"/>
      <c r="AA172" s="22"/>
      <c r="AB172" s="22"/>
      <c r="AC172" s="41"/>
      <c r="AD172" s="22"/>
    </row>
    <row r="173" spans="18:30" x14ac:dyDescent="0.25">
      <c r="R173" s="22"/>
      <c r="S173" s="22"/>
      <c r="T173" s="331"/>
      <c r="U173" s="22"/>
      <c r="V173" s="22"/>
      <c r="W173" s="22"/>
      <c r="X173" s="22"/>
      <c r="Y173" s="22"/>
      <c r="Z173" s="22"/>
      <c r="AA173" s="22"/>
      <c r="AB173" s="22"/>
      <c r="AC173" s="41"/>
      <c r="AD173" s="22"/>
    </row>
    <row r="174" spans="18:30" x14ac:dyDescent="0.25">
      <c r="R174" s="22"/>
      <c r="S174" s="22"/>
      <c r="T174" s="331"/>
      <c r="U174" s="22"/>
      <c r="V174" s="22"/>
      <c r="W174" s="22"/>
      <c r="X174" s="22"/>
      <c r="Y174" s="22"/>
      <c r="Z174" s="22"/>
      <c r="AA174" s="22"/>
      <c r="AB174" s="22"/>
      <c r="AC174" s="41"/>
      <c r="AD174" s="22"/>
    </row>
    <row r="175" spans="18:30" x14ac:dyDescent="0.25">
      <c r="R175" s="22"/>
      <c r="S175" s="22"/>
      <c r="T175" s="331"/>
      <c r="U175" s="22"/>
      <c r="V175" s="22"/>
      <c r="W175" s="22"/>
      <c r="X175" s="22"/>
      <c r="Y175" s="22"/>
      <c r="Z175" s="22"/>
      <c r="AA175" s="22"/>
      <c r="AB175" s="22"/>
      <c r="AC175" s="41"/>
      <c r="AD175" s="22"/>
    </row>
    <row r="176" spans="18:30" x14ac:dyDescent="0.25">
      <c r="R176" s="22"/>
      <c r="S176" s="22"/>
      <c r="T176" s="331"/>
      <c r="U176" s="22"/>
      <c r="V176" s="22"/>
      <c r="W176" s="22"/>
      <c r="X176" s="22"/>
      <c r="Y176" s="22"/>
      <c r="Z176" s="22"/>
      <c r="AA176" s="22"/>
      <c r="AB176" s="22"/>
      <c r="AC176" s="41"/>
      <c r="AD176" s="22"/>
    </row>
    <row r="177" spans="18:30" x14ac:dyDescent="0.25">
      <c r="R177" s="22"/>
      <c r="S177" s="22"/>
      <c r="T177" s="331"/>
      <c r="U177" s="22"/>
      <c r="V177" s="22"/>
      <c r="W177" s="22"/>
      <c r="X177" s="22"/>
      <c r="Y177" s="22"/>
      <c r="Z177" s="22"/>
      <c r="AA177" s="22"/>
      <c r="AB177" s="22"/>
      <c r="AC177" s="41"/>
      <c r="AD177" s="22"/>
    </row>
    <row r="178" spans="18:30" x14ac:dyDescent="0.25">
      <c r="R178" s="22"/>
      <c r="S178" s="22"/>
      <c r="T178" s="331"/>
      <c r="U178" s="22"/>
      <c r="V178" s="22"/>
      <c r="W178" s="22"/>
      <c r="X178" s="22"/>
      <c r="Y178" s="22"/>
      <c r="Z178" s="22"/>
      <c r="AA178" s="22"/>
      <c r="AB178" s="22"/>
      <c r="AC178" s="41"/>
      <c r="AD178" s="22"/>
    </row>
    <row r="179" spans="18:30" x14ac:dyDescent="0.25">
      <c r="R179" s="22"/>
      <c r="S179" s="22"/>
      <c r="T179" s="331"/>
      <c r="U179" s="22"/>
      <c r="V179" s="22"/>
      <c r="W179" s="22"/>
      <c r="X179" s="22"/>
      <c r="Y179" s="22"/>
      <c r="Z179" s="22"/>
      <c r="AA179" s="22"/>
      <c r="AB179" s="22"/>
      <c r="AC179" s="41"/>
      <c r="AD179" s="22"/>
    </row>
    <row r="180" spans="18:30" x14ac:dyDescent="0.25">
      <c r="R180" s="22"/>
      <c r="S180" s="22"/>
      <c r="T180" s="331"/>
      <c r="U180" s="22"/>
      <c r="V180" s="22"/>
      <c r="W180" s="22"/>
      <c r="X180" s="22"/>
      <c r="Y180" s="22"/>
      <c r="Z180" s="22"/>
      <c r="AA180" s="22"/>
      <c r="AB180" s="22"/>
      <c r="AC180" s="41"/>
      <c r="AD180" s="22"/>
    </row>
    <row r="181" spans="18:30" x14ac:dyDescent="0.25">
      <c r="R181" s="22"/>
      <c r="S181" s="22"/>
      <c r="T181" s="331"/>
      <c r="U181" s="22"/>
      <c r="V181" s="22"/>
      <c r="W181" s="22"/>
      <c r="X181" s="22"/>
      <c r="Y181" s="22"/>
      <c r="Z181" s="22"/>
      <c r="AA181" s="22"/>
      <c r="AB181" s="22"/>
      <c r="AC181" s="41"/>
      <c r="AD181" s="22"/>
    </row>
    <row r="182" spans="18:30" x14ac:dyDescent="0.25">
      <c r="R182" s="22"/>
      <c r="S182" s="22"/>
      <c r="T182" s="331"/>
      <c r="U182" s="22"/>
      <c r="V182" s="22"/>
      <c r="W182" s="22"/>
      <c r="X182" s="22"/>
      <c r="Y182" s="22"/>
      <c r="Z182" s="22"/>
      <c r="AA182" s="22"/>
      <c r="AB182" s="22"/>
      <c r="AC182" s="41"/>
      <c r="AD182" s="22"/>
    </row>
    <row r="183" spans="18:30" x14ac:dyDescent="0.25">
      <c r="R183" s="22"/>
      <c r="S183" s="22"/>
      <c r="T183" s="331"/>
      <c r="U183" s="22"/>
      <c r="V183" s="22"/>
      <c r="W183" s="22"/>
      <c r="X183" s="22"/>
      <c r="Y183" s="22"/>
      <c r="Z183" s="22"/>
      <c r="AA183" s="22"/>
      <c r="AB183" s="22"/>
      <c r="AC183" s="41"/>
      <c r="AD183" s="22"/>
    </row>
    <row r="184" spans="18:30" x14ac:dyDescent="0.25">
      <c r="R184" s="22"/>
      <c r="S184" s="22"/>
      <c r="T184" s="331"/>
      <c r="U184" s="22"/>
      <c r="V184" s="22"/>
      <c r="W184" s="22"/>
      <c r="X184" s="22"/>
      <c r="Y184" s="22"/>
      <c r="Z184" s="22"/>
      <c r="AA184" s="22"/>
      <c r="AB184" s="22"/>
      <c r="AC184" s="41"/>
      <c r="AD184" s="22"/>
    </row>
    <row r="185" spans="18:30" x14ac:dyDescent="0.25">
      <c r="R185" s="22"/>
      <c r="S185" s="22"/>
      <c r="T185" s="331"/>
      <c r="U185" s="22"/>
      <c r="V185" s="22"/>
      <c r="W185" s="22"/>
      <c r="X185" s="22"/>
      <c r="Y185" s="22"/>
      <c r="Z185" s="22"/>
      <c r="AA185" s="22"/>
      <c r="AB185" s="22"/>
      <c r="AC185" s="41"/>
      <c r="AD185" s="22"/>
    </row>
    <row r="186" spans="18:30" x14ac:dyDescent="0.25">
      <c r="R186" s="22"/>
      <c r="S186" s="22"/>
      <c r="T186" s="331"/>
      <c r="U186" s="22"/>
      <c r="V186" s="22"/>
      <c r="W186" s="22"/>
      <c r="X186" s="22"/>
      <c r="Y186" s="22"/>
      <c r="Z186" s="22"/>
      <c r="AA186" s="22"/>
      <c r="AB186" s="22"/>
      <c r="AC186" s="41"/>
      <c r="AD186" s="22"/>
    </row>
    <row r="187" spans="18:30" x14ac:dyDescent="0.25">
      <c r="R187" s="22"/>
      <c r="S187" s="22"/>
      <c r="T187" s="331"/>
      <c r="U187" s="22"/>
      <c r="V187" s="22"/>
      <c r="W187" s="22"/>
      <c r="X187" s="22"/>
      <c r="Y187" s="22"/>
      <c r="Z187" s="22"/>
      <c r="AA187" s="22"/>
      <c r="AB187" s="22"/>
      <c r="AC187" s="41"/>
      <c r="AD187" s="22"/>
    </row>
    <row r="188" spans="18:30" x14ac:dyDescent="0.25">
      <c r="R188" s="22"/>
      <c r="S188" s="22"/>
      <c r="T188" s="331"/>
      <c r="U188" s="22"/>
      <c r="V188" s="22"/>
      <c r="W188" s="22"/>
      <c r="X188" s="22"/>
      <c r="Y188" s="22"/>
      <c r="Z188" s="22"/>
      <c r="AA188" s="22"/>
      <c r="AB188" s="22"/>
      <c r="AC188" s="41"/>
      <c r="AD188" s="22"/>
    </row>
    <row r="189" spans="18:30" x14ac:dyDescent="0.25">
      <c r="R189" s="22"/>
      <c r="S189" s="22"/>
      <c r="T189" s="331"/>
      <c r="U189" s="22"/>
      <c r="V189" s="22"/>
      <c r="W189" s="22"/>
      <c r="X189" s="22"/>
      <c r="Y189" s="22"/>
      <c r="Z189" s="22"/>
      <c r="AA189" s="22"/>
      <c r="AB189" s="22"/>
      <c r="AC189" s="41"/>
      <c r="AD189" s="22"/>
    </row>
    <row r="190" spans="18:30" x14ac:dyDescent="0.25">
      <c r="R190" s="22"/>
      <c r="S190" s="22"/>
      <c r="T190" s="331"/>
      <c r="U190" s="22"/>
      <c r="V190" s="22"/>
      <c r="W190" s="22"/>
      <c r="X190" s="22"/>
      <c r="Y190" s="22"/>
      <c r="Z190" s="22"/>
      <c r="AA190" s="22"/>
      <c r="AB190" s="22"/>
      <c r="AC190" s="41"/>
      <c r="AD190" s="22"/>
    </row>
    <row r="191" spans="18:30" x14ac:dyDescent="0.25">
      <c r="R191" s="22"/>
      <c r="S191" s="22"/>
      <c r="T191" s="331"/>
      <c r="U191" s="22"/>
      <c r="V191" s="22"/>
      <c r="W191" s="22"/>
      <c r="X191" s="22"/>
      <c r="Y191" s="22"/>
      <c r="Z191" s="22"/>
      <c r="AA191" s="22"/>
      <c r="AB191" s="22"/>
      <c r="AC191" s="41"/>
      <c r="AD191" s="22"/>
    </row>
    <row r="192" spans="18:30" x14ac:dyDescent="0.25">
      <c r="R192" s="22"/>
      <c r="S192" s="22"/>
      <c r="T192" s="331"/>
      <c r="U192" s="22"/>
      <c r="V192" s="22"/>
      <c r="W192" s="22"/>
      <c r="X192" s="22"/>
      <c r="Y192" s="22"/>
      <c r="Z192" s="22"/>
      <c r="AA192" s="22"/>
      <c r="AB192" s="22"/>
      <c r="AC192" s="41"/>
      <c r="AD192" s="22"/>
    </row>
    <row r="193" spans="18:30" x14ac:dyDescent="0.25">
      <c r="R193" s="22"/>
      <c r="S193" s="22"/>
      <c r="T193" s="331"/>
      <c r="U193" s="22"/>
      <c r="V193" s="22"/>
      <c r="W193" s="22"/>
      <c r="X193" s="22"/>
      <c r="Y193" s="22"/>
      <c r="Z193" s="22"/>
      <c r="AA193" s="22"/>
      <c r="AB193" s="22"/>
      <c r="AC193" s="41"/>
      <c r="AD193" s="22"/>
    </row>
    <row r="194" spans="18:30" x14ac:dyDescent="0.25">
      <c r="R194" s="22"/>
      <c r="S194" s="22"/>
      <c r="T194" s="331"/>
      <c r="U194" s="22"/>
      <c r="V194" s="22"/>
      <c r="W194" s="22"/>
      <c r="X194" s="22"/>
      <c r="Y194" s="22"/>
      <c r="Z194" s="22"/>
      <c r="AA194" s="22"/>
      <c r="AB194" s="22"/>
      <c r="AC194" s="41"/>
      <c r="AD194" s="22"/>
    </row>
    <row r="195" spans="18:30" x14ac:dyDescent="0.25">
      <c r="R195" s="22"/>
      <c r="S195" s="22"/>
      <c r="T195" s="331"/>
      <c r="U195" s="22"/>
      <c r="V195" s="22"/>
      <c r="W195" s="22"/>
      <c r="X195" s="22"/>
      <c r="Y195" s="22"/>
      <c r="Z195" s="22"/>
      <c r="AA195" s="22"/>
      <c r="AB195" s="22"/>
      <c r="AC195" s="41"/>
      <c r="AD195" s="22"/>
    </row>
    <row r="196" spans="18:30" x14ac:dyDescent="0.25">
      <c r="R196" s="22"/>
      <c r="S196" s="22"/>
      <c r="T196" s="331"/>
      <c r="U196" s="22"/>
      <c r="V196" s="22"/>
      <c r="W196" s="22"/>
      <c r="X196" s="22"/>
      <c r="Y196" s="22"/>
      <c r="Z196" s="22"/>
      <c r="AA196" s="22"/>
      <c r="AB196" s="22"/>
      <c r="AC196" s="41"/>
      <c r="AD196" s="22"/>
    </row>
    <row r="197" spans="18:30" x14ac:dyDescent="0.25">
      <c r="R197" s="22"/>
      <c r="S197" s="22"/>
      <c r="T197" s="331"/>
      <c r="U197" s="22"/>
      <c r="V197" s="22"/>
      <c r="W197" s="22"/>
      <c r="X197" s="22"/>
      <c r="Y197" s="22"/>
      <c r="Z197" s="22"/>
      <c r="AA197" s="22"/>
      <c r="AB197" s="22"/>
      <c r="AC197" s="41"/>
      <c r="AD197" s="22"/>
    </row>
    <row r="198" spans="18:30" x14ac:dyDescent="0.25">
      <c r="R198" s="22"/>
      <c r="S198" s="22"/>
      <c r="T198" s="331"/>
      <c r="U198" s="22"/>
      <c r="V198" s="22"/>
      <c r="W198" s="22"/>
      <c r="X198" s="22"/>
      <c r="Y198" s="22"/>
      <c r="Z198" s="22"/>
      <c r="AA198" s="22"/>
      <c r="AB198" s="22"/>
      <c r="AC198" s="41"/>
      <c r="AD198" s="22"/>
    </row>
    <row r="199" spans="18:30" x14ac:dyDescent="0.25">
      <c r="R199" s="22"/>
      <c r="S199" s="22"/>
      <c r="T199" s="331"/>
      <c r="U199" s="22"/>
      <c r="V199" s="22"/>
      <c r="W199" s="22"/>
      <c r="X199" s="22"/>
      <c r="Y199" s="22"/>
      <c r="Z199" s="22"/>
      <c r="AA199" s="22"/>
      <c r="AB199" s="22"/>
      <c r="AC199" s="41"/>
      <c r="AD199" s="22"/>
    </row>
    <row r="200" spans="18:30" x14ac:dyDescent="0.25">
      <c r="R200" s="22"/>
      <c r="S200" s="22"/>
      <c r="T200" s="331"/>
      <c r="U200" s="22"/>
      <c r="V200" s="22"/>
      <c r="W200" s="22"/>
      <c r="X200" s="22"/>
      <c r="Y200" s="22"/>
      <c r="Z200" s="22"/>
      <c r="AA200" s="22"/>
      <c r="AB200" s="22"/>
      <c r="AC200" s="41"/>
      <c r="AD200" s="22"/>
    </row>
    <row r="201" spans="18:30" x14ac:dyDescent="0.25">
      <c r="R201" s="22"/>
      <c r="S201" s="22"/>
      <c r="T201" s="331"/>
      <c r="U201" s="22"/>
      <c r="V201" s="22"/>
      <c r="W201" s="22"/>
      <c r="X201" s="22"/>
      <c r="Y201" s="22"/>
      <c r="Z201" s="22"/>
      <c r="AA201" s="22"/>
      <c r="AB201" s="22"/>
      <c r="AC201" s="41"/>
      <c r="AD201" s="22"/>
    </row>
    <row r="202" spans="18:30" x14ac:dyDescent="0.25">
      <c r="R202" s="22"/>
      <c r="S202" s="22"/>
      <c r="T202" s="331"/>
      <c r="U202" s="22"/>
      <c r="V202" s="22"/>
      <c r="W202" s="22"/>
      <c r="X202" s="22"/>
      <c r="Y202" s="22"/>
      <c r="Z202" s="22"/>
      <c r="AA202" s="22"/>
      <c r="AB202" s="22"/>
      <c r="AC202" s="41"/>
      <c r="AD202" s="22"/>
    </row>
    <row r="203" spans="18:30" x14ac:dyDescent="0.25">
      <c r="R203" s="22"/>
      <c r="S203" s="22"/>
      <c r="T203" s="331"/>
      <c r="U203" s="22"/>
      <c r="V203" s="22"/>
      <c r="W203" s="22"/>
      <c r="X203" s="22"/>
      <c r="Y203" s="22"/>
      <c r="Z203" s="22"/>
      <c r="AA203" s="22"/>
      <c r="AB203" s="22"/>
      <c r="AC203" s="41"/>
      <c r="AD203" s="22"/>
    </row>
    <row r="204" spans="18:30" x14ac:dyDescent="0.25">
      <c r="R204" s="22"/>
      <c r="S204" s="22"/>
      <c r="T204" s="331"/>
      <c r="U204" s="22"/>
      <c r="V204" s="22"/>
      <c r="W204" s="22"/>
      <c r="X204" s="22"/>
      <c r="Y204" s="22"/>
      <c r="Z204" s="22"/>
      <c r="AA204" s="22"/>
      <c r="AB204" s="22"/>
      <c r="AC204" s="41"/>
      <c r="AD204" s="22"/>
    </row>
    <row r="205" spans="18:30" x14ac:dyDescent="0.25">
      <c r="R205" s="22"/>
      <c r="S205" s="22"/>
      <c r="T205" s="331"/>
      <c r="U205" s="22"/>
      <c r="V205" s="22"/>
      <c r="W205" s="22"/>
      <c r="X205" s="22"/>
      <c r="Y205" s="22"/>
      <c r="Z205" s="22"/>
      <c r="AA205" s="22"/>
      <c r="AB205" s="22"/>
      <c r="AC205" s="41"/>
      <c r="AD205" s="22"/>
    </row>
    <row r="206" spans="18:30" x14ac:dyDescent="0.25">
      <c r="R206" s="22"/>
      <c r="S206" s="22"/>
      <c r="T206" s="331"/>
      <c r="U206" s="22"/>
      <c r="V206" s="22"/>
      <c r="W206" s="22"/>
      <c r="X206" s="22"/>
      <c r="Y206" s="22"/>
      <c r="Z206" s="22"/>
      <c r="AA206" s="22"/>
      <c r="AB206" s="22"/>
      <c r="AC206" s="41"/>
      <c r="AD206" s="22"/>
    </row>
    <row r="207" spans="18:30" x14ac:dyDescent="0.25">
      <c r="R207" s="22"/>
      <c r="S207" s="22"/>
      <c r="T207" s="331"/>
      <c r="U207" s="22"/>
      <c r="V207" s="22"/>
      <c r="W207" s="22"/>
      <c r="X207" s="22"/>
      <c r="Y207" s="22"/>
      <c r="Z207" s="22"/>
      <c r="AA207" s="22"/>
      <c r="AB207" s="22"/>
      <c r="AC207" s="41"/>
      <c r="AD207" s="22"/>
    </row>
    <row r="208" spans="18:30" x14ac:dyDescent="0.25">
      <c r="R208" s="22"/>
      <c r="S208" s="22"/>
      <c r="T208" s="331"/>
      <c r="U208" s="22"/>
      <c r="V208" s="22"/>
      <c r="W208" s="22"/>
      <c r="X208" s="22"/>
      <c r="Y208" s="22"/>
      <c r="Z208" s="22"/>
      <c r="AA208" s="22"/>
      <c r="AB208" s="22"/>
      <c r="AC208" s="41"/>
      <c r="AD208" s="22"/>
    </row>
    <row r="209" spans="18:30" x14ac:dyDescent="0.25">
      <c r="R209" s="22"/>
      <c r="S209" s="22"/>
      <c r="T209" s="331"/>
      <c r="U209" s="22"/>
      <c r="V209" s="22"/>
      <c r="W209" s="22"/>
      <c r="X209" s="22"/>
      <c r="Y209" s="22"/>
      <c r="Z209" s="22"/>
      <c r="AA209" s="22"/>
      <c r="AB209" s="22"/>
      <c r="AC209" s="41"/>
      <c r="AD209" s="22"/>
    </row>
    <row r="210" spans="18:30" x14ac:dyDescent="0.25">
      <c r="R210" s="22"/>
      <c r="S210" s="22"/>
      <c r="T210" s="331"/>
      <c r="U210" s="22"/>
      <c r="V210" s="22"/>
      <c r="W210" s="22"/>
      <c r="X210" s="22"/>
      <c r="Y210" s="22"/>
      <c r="Z210" s="22"/>
      <c r="AA210" s="22"/>
      <c r="AB210" s="22"/>
      <c r="AC210" s="41"/>
      <c r="AD210" s="22"/>
    </row>
    <row r="211" spans="18:30" x14ac:dyDescent="0.25">
      <c r="R211" s="22"/>
      <c r="S211" s="22"/>
      <c r="T211" s="331"/>
      <c r="U211" s="22"/>
      <c r="V211" s="22"/>
      <c r="W211" s="22"/>
      <c r="X211" s="22"/>
      <c r="Y211" s="22"/>
      <c r="Z211" s="22"/>
      <c r="AA211" s="22"/>
      <c r="AB211" s="22"/>
      <c r="AC211" s="41"/>
      <c r="AD211" s="22"/>
    </row>
    <row r="212" spans="18:30" x14ac:dyDescent="0.25">
      <c r="R212" s="22"/>
      <c r="S212" s="22"/>
      <c r="T212" s="331"/>
      <c r="U212" s="22"/>
      <c r="V212" s="22"/>
      <c r="W212" s="22"/>
      <c r="X212" s="22"/>
      <c r="Y212" s="22"/>
      <c r="Z212" s="22"/>
      <c r="AA212" s="22"/>
      <c r="AB212" s="22"/>
      <c r="AC212" s="41"/>
      <c r="AD212" s="22"/>
    </row>
    <row r="213" spans="18:30" x14ac:dyDescent="0.25">
      <c r="R213" s="22"/>
      <c r="S213" s="22"/>
      <c r="T213" s="331"/>
      <c r="U213" s="22"/>
      <c r="V213" s="22"/>
      <c r="W213" s="22"/>
      <c r="X213" s="22"/>
      <c r="Y213" s="22"/>
      <c r="Z213" s="22"/>
      <c r="AA213" s="22"/>
      <c r="AB213" s="22"/>
      <c r="AC213" s="41"/>
      <c r="AD213" s="22"/>
    </row>
    <row r="214" spans="18:30" x14ac:dyDescent="0.25">
      <c r="R214" s="22"/>
      <c r="S214" s="22"/>
      <c r="T214" s="331"/>
      <c r="U214" s="22"/>
      <c r="V214" s="22"/>
      <c r="W214" s="22"/>
      <c r="X214" s="22"/>
      <c r="Y214" s="22"/>
      <c r="Z214" s="22"/>
      <c r="AA214" s="22"/>
      <c r="AB214" s="22"/>
      <c r="AC214" s="41"/>
      <c r="AD214" s="22"/>
    </row>
    <row r="215" spans="18:30" x14ac:dyDescent="0.25">
      <c r="R215" s="22"/>
      <c r="S215" s="22"/>
      <c r="T215" s="331"/>
      <c r="U215" s="22"/>
      <c r="V215" s="22"/>
      <c r="W215" s="22"/>
      <c r="X215" s="22"/>
      <c r="Y215" s="22"/>
      <c r="Z215" s="22"/>
      <c r="AA215" s="22"/>
      <c r="AB215" s="22"/>
      <c r="AC215" s="41"/>
      <c r="AD215" s="22"/>
    </row>
    <row r="216" spans="18:30" x14ac:dyDescent="0.25">
      <c r="R216" s="22"/>
      <c r="S216" s="22"/>
      <c r="T216" s="331"/>
      <c r="U216" s="22"/>
      <c r="V216" s="22"/>
      <c r="W216" s="22"/>
      <c r="X216" s="22"/>
      <c r="Y216" s="22"/>
      <c r="Z216" s="22"/>
      <c r="AA216" s="22"/>
      <c r="AB216" s="22"/>
      <c r="AC216" s="41"/>
      <c r="AD216" s="22"/>
    </row>
    <row r="217" spans="18:30" x14ac:dyDescent="0.25">
      <c r="R217" s="22"/>
      <c r="S217" s="22"/>
      <c r="T217" s="331"/>
      <c r="U217" s="22"/>
      <c r="V217" s="22"/>
      <c r="W217" s="22"/>
      <c r="X217" s="22"/>
      <c r="Y217" s="22"/>
      <c r="Z217" s="22"/>
      <c r="AA217" s="22"/>
      <c r="AB217" s="22"/>
      <c r="AC217" s="41"/>
      <c r="AD217" s="22"/>
    </row>
    <row r="218" spans="18:30" x14ac:dyDescent="0.25">
      <c r="R218" s="22"/>
      <c r="S218" s="22"/>
      <c r="T218" s="331"/>
      <c r="U218" s="22"/>
      <c r="V218" s="22"/>
      <c r="W218" s="22"/>
      <c r="X218" s="22"/>
      <c r="Y218" s="22"/>
      <c r="Z218" s="22"/>
      <c r="AA218" s="22"/>
      <c r="AB218" s="22"/>
      <c r="AC218" s="41"/>
      <c r="AD218" s="22"/>
    </row>
    <row r="219" spans="18:30" x14ac:dyDescent="0.25">
      <c r="R219" s="22"/>
      <c r="S219" s="22"/>
      <c r="T219" s="331"/>
      <c r="U219" s="22"/>
      <c r="V219" s="22"/>
      <c r="W219" s="22"/>
      <c r="X219" s="22"/>
      <c r="Y219" s="22"/>
      <c r="Z219" s="22"/>
      <c r="AA219" s="22"/>
      <c r="AB219" s="22"/>
      <c r="AC219" s="41"/>
      <c r="AD219" s="22"/>
    </row>
    <row r="220" spans="18:30" x14ac:dyDescent="0.25">
      <c r="R220" s="22"/>
      <c r="S220" s="22"/>
      <c r="T220" s="331"/>
      <c r="U220" s="22"/>
      <c r="V220" s="22"/>
      <c r="W220" s="22"/>
      <c r="X220" s="22"/>
      <c r="Y220" s="22"/>
      <c r="Z220" s="22"/>
      <c r="AA220" s="22"/>
      <c r="AB220" s="22"/>
      <c r="AC220" s="41"/>
      <c r="AD220" s="22"/>
    </row>
    <row r="221" spans="18:30" x14ac:dyDescent="0.25">
      <c r="R221" s="22"/>
      <c r="S221" s="22"/>
      <c r="T221" s="331"/>
      <c r="U221" s="22"/>
      <c r="V221" s="22"/>
      <c r="W221" s="22"/>
      <c r="X221" s="22"/>
      <c r="Y221" s="22"/>
      <c r="Z221" s="22"/>
      <c r="AA221" s="22"/>
      <c r="AB221" s="22"/>
      <c r="AC221" s="41"/>
      <c r="AD221" s="22"/>
    </row>
    <row r="222" spans="18:30" x14ac:dyDescent="0.25">
      <c r="R222" s="22"/>
      <c r="S222" s="22"/>
      <c r="T222" s="331"/>
      <c r="U222" s="22"/>
      <c r="V222" s="22"/>
      <c r="W222" s="22"/>
      <c r="X222" s="22"/>
      <c r="Y222" s="22"/>
      <c r="Z222" s="22"/>
      <c r="AA222" s="22"/>
      <c r="AB222" s="22"/>
      <c r="AC222" s="41"/>
      <c r="AD222" s="22"/>
    </row>
    <row r="223" spans="18:30" x14ac:dyDescent="0.25">
      <c r="R223" s="22"/>
      <c r="S223" s="22"/>
      <c r="T223" s="331"/>
      <c r="U223" s="22"/>
      <c r="V223" s="22"/>
      <c r="W223" s="22"/>
      <c r="X223" s="22"/>
      <c r="Y223" s="22"/>
      <c r="Z223" s="22"/>
      <c r="AA223" s="22"/>
      <c r="AB223" s="22"/>
      <c r="AC223" s="41"/>
      <c r="AD223" s="22"/>
    </row>
    <row r="224" spans="18:30" x14ac:dyDescent="0.25">
      <c r="R224" s="22"/>
      <c r="S224" s="22"/>
      <c r="T224" s="331"/>
      <c r="U224" s="22"/>
      <c r="V224" s="22"/>
      <c r="W224" s="22"/>
      <c r="X224" s="22"/>
      <c r="Y224" s="22"/>
      <c r="Z224" s="22"/>
      <c r="AA224" s="22"/>
      <c r="AB224" s="22"/>
      <c r="AC224" s="41"/>
      <c r="AD224" s="22"/>
    </row>
    <row r="225" spans="18:30" x14ac:dyDescent="0.25">
      <c r="R225" s="22"/>
      <c r="S225" s="22"/>
      <c r="T225" s="331"/>
      <c r="U225" s="22"/>
      <c r="V225" s="22"/>
      <c r="W225" s="22"/>
      <c r="X225" s="22"/>
      <c r="Y225" s="22"/>
      <c r="Z225" s="22"/>
      <c r="AA225" s="22"/>
      <c r="AB225" s="22"/>
      <c r="AC225" s="41"/>
      <c r="AD225" s="22"/>
    </row>
    <row r="226" spans="18:30" x14ac:dyDescent="0.25">
      <c r="R226" s="22"/>
      <c r="S226" s="22"/>
      <c r="T226" s="331"/>
      <c r="U226" s="22"/>
      <c r="V226" s="22"/>
      <c r="W226" s="22"/>
      <c r="X226" s="22"/>
      <c r="Y226" s="22"/>
      <c r="Z226" s="22"/>
      <c r="AA226" s="22"/>
      <c r="AB226" s="22"/>
      <c r="AC226" s="41"/>
      <c r="AD226" s="22"/>
    </row>
    <row r="227" spans="18:30" x14ac:dyDescent="0.25">
      <c r="R227" s="22"/>
      <c r="S227" s="22"/>
      <c r="T227" s="331"/>
      <c r="U227" s="22"/>
      <c r="V227" s="22"/>
      <c r="W227" s="22"/>
      <c r="X227" s="22"/>
      <c r="Y227" s="22"/>
      <c r="Z227" s="22"/>
      <c r="AA227" s="22"/>
      <c r="AB227" s="22"/>
      <c r="AC227" s="41"/>
      <c r="AD227" s="22"/>
    </row>
    <row r="228" spans="18:30" x14ac:dyDescent="0.25">
      <c r="R228" s="22"/>
      <c r="S228" s="22"/>
      <c r="T228" s="331"/>
      <c r="U228" s="22"/>
      <c r="V228" s="22"/>
      <c r="W228" s="22"/>
      <c r="X228" s="22"/>
      <c r="Y228" s="22"/>
      <c r="Z228" s="22"/>
      <c r="AA228" s="22"/>
      <c r="AB228" s="22"/>
      <c r="AC228" s="41"/>
      <c r="AD228" s="22"/>
    </row>
    <row r="229" spans="18:30" x14ac:dyDescent="0.25">
      <c r="R229" s="22"/>
      <c r="S229" s="22"/>
      <c r="T229" s="331"/>
      <c r="U229" s="22"/>
      <c r="V229" s="22"/>
      <c r="W229" s="22"/>
      <c r="X229" s="22"/>
      <c r="Y229" s="22"/>
      <c r="Z229" s="22"/>
      <c r="AA229" s="22"/>
      <c r="AB229" s="22"/>
      <c r="AC229" s="41"/>
      <c r="AD229" s="22"/>
    </row>
    <row r="230" spans="18:30" x14ac:dyDescent="0.25">
      <c r="R230" s="22"/>
      <c r="S230" s="22"/>
      <c r="T230" s="331"/>
      <c r="U230" s="22"/>
      <c r="V230" s="22"/>
      <c r="W230" s="22"/>
      <c r="X230" s="22"/>
      <c r="Y230" s="22"/>
      <c r="Z230" s="22"/>
      <c r="AA230" s="22"/>
      <c r="AB230" s="22"/>
      <c r="AC230" s="41"/>
      <c r="AD230" s="22"/>
    </row>
    <row r="231" spans="18:30" x14ac:dyDescent="0.25">
      <c r="R231" s="22"/>
      <c r="S231" s="22"/>
      <c r="T231" s="331"/>
      <c r="U231" s="22"/>
      <c r="V231" s="22"/>
      <c r="W231" s="22"/>
      <c r="X231" s="22"/>
      <c r="Y231" s="22"/>
      <c r="Z231" s="22"/>
      <c r="AA231" s="22"/>
      <c r="AB231" s="22"/>
      <c r="AC231" s="41"/>
      <c r="AD231" s="22"/>
    </row>
    <row r="232" spans="18:30" x14ac:dyDescent="0.25">
      <c r="R232" s="22"/>
      <c r="S232" s="22"/>
      <c r="T232" s="331"/>
      <c r="U232" s="22"/>
      <c r="V232" s="22"/>
      <c r="W232" s="22"/>
      <c r="X232" s="22"/>
      <c r="Y232" s="22"/>
      <c r="Z232" s="22"/>
      <c r="AA232" s="22"/>
      <c r="AB232" s="22"/>
      <c r="AC232" s="41"/>
      <c r="AD232" s="22"/>
    </row>
    <row r="233" spans="18:30" x14ac:dyDescent="0.25">
      <c r="R233" s="22"/>
      <c r="S233" s="22"/>
      <c r="T233" s="331"/>
      <c r="U233" s="22"/>
      <c r="V233" s="22"/>
      <c r="W233" s="22"/>
      <c r="X233" s="22"/>
      <c r="Y233" s="22"/>
      <c r="Z233" s="22"/>
      <c r="AA233" s="22"/>
      <c r="AB233" s="22"/>
      <c r="AC233" s="41"/>
      <c r="AD233" s="22"/>
    </row>
    <row r="234" spans="18:30" x14ac:dyDescent="0.25">
      <c r="R234" s="22"/>
      <c r="S234" s="22"/>
      <c r="T234" s="331"/>
      <c r="U234" s="22"/>
      <c r="V234" s="22"/>
      <c r="W234" s="22"/>
      <c r="X234" s="22"/>
      <c r="Y234" s="22"/>
      <c r="Z234" s="22"/>
      <c r="AA234" s="22"/>
      <c r="AB234" s="22"/>
      <c r="AC234" s="41"/>
      <c r="AD234" s="22"/>
    </row>
    <row r="235" spans="18:30" x14ac:dyDescent="0.25">
      <c r="R235" s="22"/>
      <c r="S235" s="22"/>
      <c r="T235" s="331"/>
      <c r="U235" s="22"/>
      <c r="V235" s="22"/>
      <c r="W235" s="22"/>
      <c r="X235" s="22"/>
      <c r="Y235" s="22"/>
      <c r="Z235" s="22"/>
      <c r="AA235" s="22"/>
      <c r="AB235" s="22"/>
      <c r="AC235" s="41"/>
      <c r="AD235" s="22"/>
    </row>
    <row r="236" spans="18:30" x14ac:dyDescent="0.25">
      <c r="R236" s="22"/>
      <c r="S236" s="22"/>
      <c r="T236" s="331"/>
      <c r="U236" s="22"/>
      <c r="V236" s="22"/>
      <c r="W236" s="22"/>
      <c r="X236" s="22"/>
      <c r="Y236" s="22"/>
      <c r="Z236" s="22"/>
      <c r="AA236" s="22"/>
      <c r="AB236" s="22"/>
      <c r="AC236" s="41"/>
      <c r="AD236" s="22"/>
    </row>
    <row r="237" spans="18:30" x14ac:dyDescent="0.25">
      <c r="R237" s="22"/>
      <c r="S237" s="22"/>
      <c r="T237" s="331"/>
      <c r="U237" s="22"/>
      <c r="V237" s="22"/>
      <c r="W237" s="22"/>
      <c r="X237" s="22"/>
      <c r="Y237" s="22"/>
      <c r="Z237" s="22"/>
      <c r="AA237" s="22"/>
      <c r="AB237" s="22"/>
      <c r="AC237" s="41"/>
      <c r="AD237" s="22"/>
    </row>
    <row r="238" spans="18:30" x14ac:dyDescent="0.25">
      <c r="R238" s="22"/>
      <c r="S238" s="22"/>
      <c r="T238" s="331"/>
      <c r="U238" s="22"/>
      <c r="V238" s="22"/>
      <c r="W238" s="22"/>
      <c r="X238" s="22"/>
      <c r="Y238" s="22"/>
      <c r="Z238" s="22"/>
      <c r="AA238" s="22"/>
      <c r="AB238" s="22"/>
      <c r="AC238" s="41"/>
      <c r="AD238" s="22"/>
    </row>
    <row r="239" spans="18:30" x14ac:dyDescent="0.25">
      <c r="R239" s="22"/>
      <c r="S239" s="22"/>
      <c r="T239" s="331"/>
      <c r="U239" s="22"/>
      <c r="V239" s="22"/>
      <c r="W239" s="22"/>
      <c r="X239" s="22"/>
      <c r="Y239" s="22"/>
      <c r="Z239" s="22"/>
      <c r="AA239" s="22"/>
      <c r="AB239" s="22"/>
      <c r="AC239" s="41"/>
      <c r="AD239" s="22"/>
    </row>
    <row r="240" spans="18:30" x14ac:dyDescent="0.25">
      <c r="R240" s="22"/>
      <c r="S240" s="22"/>
      <c r="T240" s="331"/>
      <c r="U240" s="22"/>
      <c r="V240" s="22"/>
      <c r="W240" s="22"/>
      <c r="X240" s="22"/>
      <c r="Y240" s="22"/>
      <c r="Z240" s="22"/>
      <c r="AA240" s="22"/>
      <c r="AB240" s="22"/>
      <c r="AC240" s="41"/>
      <c r="AD240" s="22"/>
    </row>
    <row r="241" spans="18:30" x14ac:dyDescent="0.25">
      <c r="R241" s="22"/>
      <c r="S241" s="22"/>
      <c r="T241" s="331"/>
      <c r="U241" s="22"/>
      <c r="V241" s="22"/>
      <c r="W241" s="22"/>
      <c r="X241" s="22"/>
      <c r="Y241" s="22"/>
      <c r="Z241" s="22"/>
      <c r="AA241" s="22"/>
      <c r="AB241" s="22"/>
      <c r="AC241" s="41"/>
      <c r="AD241" s="22"/>
    </row>
    <row r="242" spans="18:30" x14ac:dyDescent="0.25">
      <c r="R242" s="22"/>
      <c r="S242" s="22"/>
      <c r="T242" s="331"/>
      <c r="U242" s="22"/>
      <c r="V242" s="22"/>
      <c r="W242" s="22"/>
      <c r="X242" s="22"/>
      <c r="Y242" s="22"/>
      <c r="Z242" s="22"/>
      <c r="AA242" s="22"/>
      <c r="AB242" s="22"/>
      <c r="AC242" s="41"/>
      <c r="AD242" s="22"/>
    </row>
    <row r="243" spans="18:30" x14ac:dyDescent="0.25">
      <c r="R243" s="22"/>
      <c r="S243" s="22"/>
      <c r="T243" s="331"/>
      <c r="U243" s="22"/>
      <c r="V243" s="22"/>
      <c r="W243" s="22"/>
      <c r="X243" s="22"/>
      <c r="Y243" s="22"/>
      <c r="Z243" s="22"/>
      <c r="AA243" s="22"/>
      <c r="AB243" s="22"/>
      <c r="AC243" s="41"/>
      <c r="AD243" s="22"/>
    </row>
    <row r="244" spans="18:30" x14ac:dyDescent="0.25">
      <c r="R244" s="22"/>
      <c r="S244" s="22"/>
      <c r="T244" s="331"/>
      <c r="U244" s="22"/>
      <c r="V244" s="22"/>
      <c r="W244" s="22"/>
      <c r="X244" s="22"/>
      <c r="Y244" s="22"/>
      <c r="Z244" s="22"/>
      <c r="AA244" s="22"/>
      <c r="AB244" s="22"/>
      <c r="AC244" s="41"/>
      <c r="AD244" s="22"/>
    </row>
    <row r="245" spans="18:30" x14ac:dyDescent="0.25">
      <c r="R245" s="22"/>
      <c r="S245" s="22"/>
      <c r="T245" s="331"/>
      <c r="U245" s="22"/>
      <c r="V245" s="22"/>
      <c r="W245" s="22"/>
      <c r="X245" s="22"/>
      <c r="Y245" s="22"/>
      <c r="Z245" s="22"/>
      <c r="AA245" s="22"/>
      <c r="AB245" s="22"/>
      <c r="AC245" s="41"/>
      <c r="AD245" s="22"/>
    </row>
    <row r="246" spans="18:30" x14ac:dyDescent="0.25">
      <c r="R246" s="22"/>
      <c r="S246" s="22"/>
      <c r="T246" s="331"/>
      <c r="U246" s="22"/>
      <c r="V246" s="22"/>
      <c r="W246" s="22"/>
      <c r="X246" s="22"/>
      <c r="Y246" s="22"/>
      <c r="Z246" s="22"/>
      <c r="AA246" s="22"/>
      <c r="AB246" s="22"/>
      <c r="AC246" s="41"/>
      <c r="AD246" s="22"/>
    </row>
    <row r="247" spans="18:30" x14ac:dyDescent="0.25">
      <c r="R247" s="22"/>
      <c r="S247" s="22"/>
      <c r="T247" s="331"/>
      <c r="U247" s="22"/>
      <c r="V247" s="22"/>
      <c r="W247" s="22"/>
      <c r="X247" s="22"/>
      <c r="Y247" s="22"/>
      <c r="Z247" s="22"/>
      <c r="AA247" s="22"/>
      <c r="AB247" s="22"/>
      <c r="AC247" s="41"/>
      <c r="AD247" s="22"/>
    </row>
    <row r="248" spans="18:30" x14ac:dyDescent="0.25">
      <c r="R248" s="22"/>
      <c r="S248" s="22"/>
      <c r="T248" s="331"/>
      <c r="U248" s="22"/>
      <c r="V248" s="22"/>
      <c r="W248" s="22"/>
      <c r="X248" s="22"/>
      <c r="Y248" s="22"/>
      <c r="Z248" s="22"/>
      <c r="AA248" s="22"/>
      <c r="AB248" s="22"/>
      <c r="AC248" s="41"/>
      <c r="AD248" s="22"/>
    </row>
    <row r="249" spans="18:30" x14ac:dyDescent="0.25">
      <c r="R249" s="22"/>
      <c r="S249" s="22"/>
      <c r="T249" s="331"/>
      <c r="U249" s="22"/>
      <c r="V249" s="22"/>
      <c r="W249" s="22"/>
      <c r="X249" s="22"/>
      <c r="Y249" s="22"/>
      <c r="Z249" s="22"/>
      <c r="AA249" s="22"/>
      <c r="AB249" s="22"/>
      <c r="AC249" s="41"/>
      <c r="AD249" s="22"/>
    </row>
    <row r="250" spans="18:30" x14ac:dyDescent="0.25">
      <c r="R250" s="22"/>
      <c r="S250" s="22"/>
      <c r="T250" s="331"/>
      <c r="U250" s="22"/>
      <c r="V250" s="22"/>
      <c r="W250" s="22"/>
      <c r="X250" s="22"/>
      <c r="Y250" s="22"/>
      <c r="Z250" s="22"/>
      <c r="AA250" s="22"/>
      <c r="AB250" s="22"/>
      <c r="AC250" s="41"/>
      <c r="AD250" s="22"/>
    </row>
    <row r="251" spans="18:30" x14ac:dyDescent="0.25">
      <c r="R251" s="22"/>
      <c r="S251" s="22"/>
      <c r="T251" s="331"/>
      <c r="U251" s="22"/>
      <c r="V251" s="22"/>
      <c r="W251" s="22"/>
      <c r="X251" s="22"/>
      <c r="Y251" s="22"/>
      <c r="Z251" s="22"/>
      <c r="AA251" s="22"/>
      <c r="AB251" s="22"/>
      <c r="AC251" s="41"/>
      <c r="AD251" s="22"/>
    </row>
    <row r="252" spans="18:30" x14ac:dyDescent="0.25">
      <c r="R252" s="22"/>
      <c r="S252" s="22"/>
      <c r="T252" s="331"/>
      <c r="U252" s="22"/>
      <c r="V252" s="22"/>
      <c r="W252" s="22"/>
      <c r="X252" s="22"/>
      <c r="Y252" s="22"/>
      <c r="Z252" s="22"/>
      <c r="AA252" s="22"/>
      <c r="AB252" s="22"/>
      <c r="AC252" s="41"/>
      <c r="AD252" s="22"/>
    </row>
    <row r="253" spans="18:30" x14ac:dyDescent="0.25">
      <c r="R253" s="22"/>
      <c r="S253" s="22"/>
      <c r="T253" s="331"/>
      <c r="U253" s="22"/>
      <c r="V253" s="22"/>
      <c r="W253" s="22"/>
      <c r="X253" s="22"/>
      <c r="Y253" s="22"/>
      <c r="Z253" s="22"/>
      <c r="AA253" s="22"/>
      <c r="AB253" s="22"/>
      <c r="AC253" s="41"/>
      <c r="AD253" s="22"/>
    </row>
    <row r="254" spans="18:30" x14ac:dyDescent="0.25">
      <c r="R254" s="22"/>
      <c r="S254" s="22"/>
      <c r="T254" s="331"/>
      <c r="U254" s="22"/>
      <c r="V254" s="22"/>
      <c r="W254" s="22"/>
      <c r="X254" s="22"/>
      <c r="Y254" s="22"/>
      <c r="Z254" s="22"/>
      <c r="AA254" s="22"/>
      <c r="AB254" s="22"/>
      <c r="AC254" s="41"/>
      <c r="AD254" s="22"/>
    </row>
    <row r="255" spans="18:30" x14ac:dyDescent="0.25">
      <c r="R255" s="22"/>
      <c r="S255" s="22"/>
      <c r="T255" s="331"/>
      <c r="U255" s="22"/>
      <c r="V255" s="22"/>
      <c r="W255" s="22"/>
      <c r="X255" s="22"/>
      <c r="Y255" s="22"/>
      <c r="Z255" s="22"/>
      <c r="AA255" s="22"/>
      <c r="AB255" s="22"/>
      <c r="AC255" s="41"/>
      <c r="AD255" s="22"/>
    </row>
    <row r="256" spans="18:30" x14ac:dyDescent="0.25">
      <c r="R256" s="22"/>
      <c r="S256" s="22"/>
      <c r="T256" s="331"/>
      <c r="U256" s="22"/>
      <c r="V256" s="22"/>
      <c r="W256" s="22"/>
      <c r="X256" s="22"/>
      <c r="Y256" s="22"/>
      <c r="Z256" s="22"/>
      <c r="AA256" s="22"/>
      <c r="AB256" s="22"/>
      <c r="AC256" s="41"/>
      <c r="AD256" s="22"/>
    </row>
    <row r="257" spans="18:30" x14ac:dyDescent="0.25">
      <c r="R257" s="22"/>
      <c r="S257" s="22"/>
      <c r="T257" s="331"/>
      <c r="U257" s="22"/>
      <c r="V257" s="22"/>
      <c r="W257" s="22"/>
      <c r="X257" s="22"/>
      <c r="Y257" s="22"/>
      <c r="Z257" s="22"/>
      <c r="AA257" s="22"/>
      <c r="AB257" s="22"/>
      <c r="AC257" s="41"/>
      <c r="AD257" s="22"/>
    </row>
    <row r="258" spans="18:30" x14ac:dyDescent="0.25">
      <c r="R258" s="22"/>
      <c r="S258" s="22"/>
      <c r="T258" s="331"/>
      <c r="U258" s="22"/>
      <c r="V258" s="22"/>
      <c r="W258" s="22"/>
      <c r="X258" s="22"/>
      <c r="Y258" s="22"/>
      <c r="Z258" s="22"/>
      <c r="AA258" s="22"/>
      <c r="AB258" s="22"/>
      <c r="AC258" s="41"/>
      <c r="AD258" s="22"/>
    </row>
    <row r="259" spans="18:30" x14ac:dyDescent="0.25">
      <c r="R259" s="22"/>
      <c r="S259" s="22"/>
      <c r="T259" s="331"/>
      <c r="U259" s="22"/>
      <c r="V259" s="22"/>
      <c r="W259" s="22"/>
      <c r="X259" s="22"/>
      <c r="Y259" s="22"/>
      <c r="Z259" s="22"/>
      <c r="AA259" s="22"/>
      <c r="AB259" s="22"/>
      <c r="AC259" s="41"/>
      <c r="AD259" s="22"/>
    </row>
    <row r="260" spans="18:30" x14ac:dyDescent="0.25">
      <c r="R260" s="22"/>
      <c r="S260" s="22"/>
      <c r="T260" s="331"/>
      <c r="U260" s="22"/>
      <c r="V260" s="22"/>
      <c r="W260" s="22"/>
      <c r="X260" s="22"/>
      <c r="Y260" s="22"/>
      <c r="Z260" s="22"/>
      <c r="AA260" s="22"/>
      <c r="AB260" s="22"/>
      <c r="AC260" s="41"/>
      <c r="AD260" s="22"/>
    </row>
    <row r="261" spans="18:30" x14ac:dyDescent="0.25">
      <c r="R261" s="22"/>
      <c r="S261" s="22"/>
      <c r="T261" s="331"/>
      <c r="U261" s="22"/>
      <c r="V261" s="22"/>
      <c r="W261" s="22"/>
      <c r="X261" s="22"/>
      <c r="Y261" s="22"/>
      <c r="Z261" s="22"/>
      <c r="AA261" s="22"/>
      <c r="AB261" s="22"/>
      <c r="AC261" s="41"/>
      <c r="AD261" s="22"/>
    </row>
    <row r="262" spans="18:30" x14ac:dyDescent="0.25">
      <c r="R262" s="22"/>
      <c r="S262" s="22"/>
      <c r="T262" s="331"/>
      <c r="U262" s="22"/>
      <c r="V262" s="22"/>
      <c r="W262" s="22"/>
      <c r="X262" s="22"/>
      <c r="Y262" s="22"/>
      <c r="Z262" s="22"/>
      <c r="AA262" s="22"/>
      <c r="AB262" s="22"/>
      <c r="AC262" s="41"/>
      <c r="AD262" s="22"/>
    </row>
    <row r="263" spans="18:30" x14ac:dyDescent="0.25">
      <c r="R263" s="22"/>
      <c r="S263" s="22"/>
      <c r="T263" s="331"/>
      <c r="U263" s="22"/>
      <c r="V263" s="22"/>
      <c r="W263" s="22"/>
      <c r="X263" s="22"/>
      <c r="Y263" s="22"/>
      <c r="Z263" s="22"/>
      <c r="AA263" s="22"/>
      <c r="AB263" s="22"/>
      <c r="AC263" s="41"/>
      <c r="AD263" s="22"/>
    </row>
    <row r="264" spans="18:30" x14ac:dyDescent="0.25">
      <c r="R264" s="22"/>
      <c r="S264" s="22"/>
      <c r="T264" s="331"/>
      <c r="U264" s="22"/>
      <c r="V264" s="22"/>
      <c r="W264" s="22"/>
      <c r="X264" s="22"/>
      <c r="Y264" s="22"/>
      <c r="Z264" s="22"/>
      <c r="AA264" s="22"/>
      <c r="AB264" s="22"/>
      <c r="AC264" s="41"/>
      <c r="AD264" s="22"/>
    </row>
    <row r="265" spans="18:30" x14ac:dyDescent="0.25">
      <c r="R265" s="22"/>
      <c r="S265" s="22"/>
      <c r="T265" s="331"/>
      <c r="U265" s="22"/>
      <c r="V265" s="22"/>
      <c r="W265" s="22"/>
      <c r="X265" s="22"/>
      <c r="Y265" s="22"/>
      <c r="Z265" s="22"/>
      <c r="AA265" s="22"/>
      <c r="AB265" s="22"/>
      <c r="AC265" s="41"/>
      <c r="AD265" s="22"/>
    </row>
    <row r="266" spans="18:30" x14ac:dyDescent="0.25">
      <c r="R266" s="22"/>
      <c r="S266" s="22"/>
      <c r="T266" s="331"/>
      <c r="U266" s="22"/>
      <c r="V266" s="22"/>
      <c r="W266" s="22"/>
      <c r="X266" s="22"/>
      <c r="Y266" s="22"/>
      <c r="Z266" s="22"/>
      <c r="AA266" s="22"/>
      <c r="AB266" s="22"/>
      <c r="AC266" s="41"/>
      <c r="AD266" s="22"/>
    </row>
    <row r="267" spans="18:30" x14ac:dyDescent="0.25">
      <c r="R267" s="22"/>
      <c r="S267" s="22"/>
      <c r="T267" s="331"/>
      <c r="U267" s="22"/>
      <c r="V267" s="22"/>
      <c r="W267" s="22"/>
      <c r="X267" s="22"/>
      <c r="Y267" s="22"/>
      <c r="Z267" s="22"/>
      <c r="AA267" s="22"/>
      <c r="AB267" s="22"/>
      <c r="AC267" s="41"/>
      <c r="AD267" s="22"/>
    </row>
    <row r="268" spans="18:30" x14ac:dyDescent="0.25">
      <c r="R268" s="22"/>
      <c r="S268" s="22"/>
      <c r="T268" s="331"/>
      <c r="U268" s="22"/>
      <c r="V268" s="22"/>
      <c r="W268" s="22"/>
      <c r="X268" s="22"/>
      <c r="Y268" s="22"/>
      <c r="Z268" s="22"/>
      <c r="AA268" s="22"/>
      <c r="AB268" s="22"/>
      <c r="AC268" s="41"/>
      <c r="AD268" s="22"/>
    </row>
    <row r="269" spans="18:30" x14ac:dyDescent="0.25">
      <c r="R269" s="22"/>
      <c r="S269" s="22"/>
      <c r="T269" s="331"/>
      <c r="U269" s="22"/>
      <c r="V269" s="22"/>
      <c r="W269" s="22"/>
      <c r="X269" s="22"/>
      <c r="Y269" s="22"/>
      <c r="Z269" s="22"/>
      <c r="AA269" s="22"/>
      <c r="AB269" s="22"/>
      <c r="AC269" s="41"/>
      <c r="AD269" s="22"/>
    </row>
    <row r="270" spans="18:30" x14ac:dyDescent="0.25">
      <c r="R270" s="22"/>
      <c r="S270" s="22"/>
      <c r="T270" s="331"/>
      <c r="U270" s="22"/>
      <c r="V270" s="22"/>
      <c r="W270" s="22"/>
      <c r="X270" s="22"/>
      <c r="Y270" s="22"/>
      <c r="Z270" s="22"/>
      <c r="AA270" s="22"/>
      <c r="AB270" s="22"/>
      <c r="AC270" s="41"/>
      <c r="AD270" s="22"/>
    </row>
    <row r="271" spans="18:30" x14ac:dyDescent="0.25">
      <c r="R271" s="22"/>
      <c r="S271" s="22"/>
      <c r="T271" s="331"/>
      <c r="U271" s="22"/>
      <c r="V271" s="22"/>
      <c r="W271" s="22"/>
      <c r="X271" s="22"/>
      <c r="Y271" s="22"/>
      <c r="Z271" s="22"/>
      <c r="AA271" s="22"/>
      <c r="AB271" s="22"/>
      <c r="AC271" s="41"/>
      <c r="AD271" s="22"/>
    </row>
    <row r="272" spans="18:30" x14ac:dyDescent="0.25">
      <c r="R272" s="22"/>
      <c r="S272" s="22"/>
      <c r="T272" s="331"/>
      <c r="U272" s="22"/>
      <c r="V272" s="22"/>
      <c r="W272" s="22"/>
      <c r="X272" s="22"/>
      <c r="Y272" s="22"/>
      <c r="Z272" s="22"/>
      <c r="AA272" s="22"/>
      <c r="AB272" s="22"/>
      <c r="AC272" s="41"/>
      <c r="AD272" s="22"/>
    </row>
    <row r="273" spans="18:30" x14ac:dyDescent="0.25">
      <c r="R273" s="22"/>
      <c r="S273" s="22"/>
      <c r="T273" s="331"/>
      <c r="U273" s="22"/>
      <c r="V273" s="22"/>
      <c r="W273" s="22"/>
      <c r="X273" s="22"/>
      <c r="Y273" s="22"/>
      <c r="Z273" s="22"/>
      <c r="AA273" s="22"/>
      <c r="AB273" s="22"/>
      <c r="AC273" s="41"/>
      <c r="AD273" s="22"/>
    </row>
    <row r="274" spans="18:30" x14ac:dyDescent="0.25">
      <c r="R274" s="22"/>
      <c r="S274" s="22"/>
      <c r="T274" s="331"/>
      <c r="U274" s="22"/>
      <c r="V274" s="22"/>
      <c r="W274" s="22"/>
      <c r="X274" s="22"/>
      <c r="Y274" s="22"/>
      <c r="Z274" s="22"/>
      <c r="AA274" s="22"/>
      <c r="AB274" s="22"/>
      <c r="AC274" s="41"/>
      <c r="AD274" s="22"/>
    </row>
    <row r="275" spans="18:30" x14ac:dyDescent="0.25">
      <c r="R275" s="22"/>
      <c r="S275" s="22"/>
      <c r="T275" s="331"/>
      <c r="U275" s="22"/>
      <c r="V275" s="22"/>
      <c r="W275" s="22"/>
      <c r="X275" s="22"/>
      <c r="Y275" s="22"/>
      <c r="Z275" s="22"/>
      <c r="AA275" s="22"/>
      <c r="AB275" s="22"/>
      <c r="AC275" s="41"/>
      <c r="AD275" s="22"/>
    </row>
    <row r="276" spans="18:30" x14ac:dyDescent="0.25">
      <c r="R276" s="22"/>
      <c r="S276" s="22"/>
      <c r="T276" s="331"/>
      <c r="U276" s="22"/>
      <c r="V276" s="22"/>
      <c r="W276" s="22"/>
      <c r="X276" s="22"/>
      <c r="Y276" s="22"/>
      <c r="Z276" s="22"/>
      <c r="AA276" s="22"/>
      <c r="AB276" s="22"/>
      <c r="AC276" s="41"/>
      <c r="AD276" s="22"/>
    </row>
    <row r="277" spans="18:30" x14ac:dyDescent="0.25">
      <c r="R277" s="22"/>
      <c r="S277" s="22"/>
      <c r="T277" s="331"/>
      <c r="U277" s="22"/>
      <c r="V277" s="22"/>
      <c r="W277" s="22"/>
      <c r="X277" s="22"/>
      <c r="Y277" s="22"/>
      <c r="Z277" s="22"/>
      <c r="AA277" s="22"/>
      <c r="AB277" s="22"/>
      <c r="AC277" s="41"/>
      <c r="AD277" s="22"/>
    </row>
    <row r="278" spans="18:30" x14ac:dyDescent="0.25">
      <c r="R278" s="22"/>
      <c r="S278" s="22"/>
      <c r="T278" s="331"/>
      <c r="U278" s="22"/>
      <c r="V278" s="22"/>
      <c r="W278" s="22"/>
      <c r="X278" s="22"/>
      <c r="Y278" s="22"/>
      <c r="Z278" s="22"/>
      <c r="AA278" s="22"/>
      <c r="AB278" s="22"/>
      <c r="AC278" s="41"/>
      <c r="AD278" s="22"/>
    </row>
    <row r="279" spans="18:30" x14ac:dyDescent="0.25">
      <c r="R279" s="22"/>
      <c r="S279" s="22"/>
      <c r="T279" s="331"/>
      <c r="U279" s="22"/>
      <c r="V279" s="22"/>
      <c r="W279" s="22"/>
      <c r="X279" s="22"/>
      <c r="Y279" s="22"/>
      <c r="Z279" s="22"/>
      <c r="AA279" s="22"/>
      <c r="AB279" s="22"/>
      <c r="AC279" s="41"/>
      <c r="AD279" s="22"/>
    </row>
    <row r="280" spans="18:30" x14ac:dyDescent="0.25">
      <c r="R280" s="22"/>
      <c r="S280" s="22"/>
      <c r="T280" s="331"/>
      <c r="U280" s="22"/>
      <c r="V280" s="22"/>
      <c r="W280" s="22"/>
      <c r="X280" s="22"/>
      <c r="Y280" s="22"/>
      <c r="Z280" s="22"/>
      <c r="AA280" s="22"/>
      <c r="AB280" s="22"/>
      <c r="AC280" s="41"/>
      <c r="AD280" s="22"/>
    </row>
    <row r="281" spans="18:30" x14ac:dyDescent="0.25">
      <c r="R281" s="22"/>
      <c r="S281" s="22"/>
      <c r="T281" s="331"/>
      <c r="U281" s="22"/>
      <c r="V281" s="22"/>
      <c r="W281" s="22"/>
      <c r="X281" s="22"/>
      <c r="Y281" s="22"/>
      <c r="Z281" s="22"/>
      <c r="AA281" s="22"/>
      <c r="AB281" s="22"/>
      <c r="AC281" s="41"/>
      <c r="AD281" s="22"/>
    </row>
    <row r="282" spans="18:30" x14ac:dyDescent="0.25">
      <c r="R282" s="22"/>
      <c r="S282" s="22"/>
      <c r="T282" s="331"/>
      <c r="U282" s="22"/>
      <c r="V282" s="22"/>
      <c r="W282" s="22"/>
      <c r="X282" s="22"/>
      <c r="Y282" s="22"/>
      <c r="Z282" s="22"/>
      <c r="AA282" s="22"/>
      <c r="AB282" s="22"/>
      <c r="AC282" s="41"/>
      <c r="AD282" s="22"/>
    </row>
    <row r="283" spans="18:30" x14ac:dyDescent="0.25">
      <c r="R283" s="22"/>
      <c r="S283" s="22"/>
      <c r="T283" s="331"/>
      <c r="U283" s="22"/>
      <c r="V283" s="22"/>
      <c r="W283" s="22"/>
      <c r="X283" s="22"/>
      <c r="Y283" s="22"/>
      <c r="Z283" s="22"/>
      <c r="AA283" s="22"/>
      <c r="AB283" s="22"/>
      <c r="AC283" s="41"/>
      <c r="AD283" s="22"/>
    </row>
    <row r="284" spans="18:30" x14ac:dyDescent="0.25">
      <c r="R284" s="22"/>
      <c r="S284" s="22"/>
      <c r="T284" s="331"/>
      <c r="U284" s="22"/>
      <c r="V284" s="22"/>
      <c r="W284" s="22"/>
      <c r="X284" s="22"/>
      <c r="Y284" s="22"/>
      <c r="Z284" s="22"/>
      <c r="AA284" s="22"/>
      <c r="AB284" s="22"/>
      <c r="AC284" s="41"/>
      <c r="AD284" s="22"/>
    </row>
    <row r="285" spans="18:30" x14ac:dyDescent="0.25">
      <c r="R285" s="22"/>
      <c r="S285" s="22"/>
      <c r="T285" s="331"/>
      <c r="U285" s="22"/>
      <c r="V285" s="22"/>
      <c r="W285" s="22"/>
      <c r="X285" s="22"/>
      <c r="Y285" s="22"/>
      <c r="Z285" s="22"/>
      <c r="AA285" s="22"/>
      <c r="AB285" s="22"/>
      <c r="AC285" s="41"/>
      <c r="AD285" s="22"/>
    </row>
    <row r="286" spans="18:30" x14ac:dyDescent="0.25">
      <c r="R286" s="22"/>
      <c r="S286" s="22"/>
      <c r="T286" s="331"/>
      <c r="U286" s="22"/>
      <c r="V286" s="22"/>
      <c r="W286" s="22"/>
      <c r="X286" s="22"/>
      <c r="Y286" s="22"/>
      <c r="Z286" s="22"/>
      <c r="AA286" s="22"/>
      <c r="AB286" s="22"/>
      <c r="AC286" s="41"/>
      <c r="AD286" s="22"/>
    </row>
    <row r="287" spans="18:30" x14ac:dyDescent="0.25">
      <c r="R287" s="22"/>
      <c r="S287" s="22"/>
      <c r="T287" s="331"/>
      <c r="U287" s="22"/>
      <c r="V287" s="22"/>
      <c r="W287" s="22"/>
      <c r="X287" s="22"/>
      <c r="Y287" s="22"/>
      <c r="Z287" s="22"/>
      <c r="AA287" s="22"/>
      <c r="AB287" s="22"/>
      <c r="AC287" s="41"/>
      <c r="AD287" s="22"/>
    </row>
    <row r="288" spans="18:30" x14ac:dyDescent="0.25">
      <c r="R288" s="22"/>
      <c r="S288" s="22"/>
      <c r="T288" s="331"/>
      <c r="U288" s="22"/>
      <c r="V288" s="22"/>
      <c r="W288" s="22"/>
      <c r="X288" s="22"/>
      <c r="Y288" s="22"/>
      <c r="Z288" s="22"/>
      <c r="AA288" s="22"/>
      <c r="AB288" s="22"/>
      <c r="AC288" s="41"/>
      <c r="AD288" s="22"/>
    </row>
    <row r="289" spans="18:30" x14ac:dyDescent="0.25">
      <c r="R289" s="22"/>
      <c r="S289" s="22"/>
      <c r="T289" s="331"/>
      <c r="U289" s="22"/>
      <c r="V289" s="22"/>
      <c r="W289" s="22"/>
      <c r="X289" s="22"/>
      <c r="Y289" s="22"/>
      <c r="Z289" s="22"/>
      <c r="AA289" s="22"/>
      <c r="AB289" s="22"/>
      <c r="AC289" s="41"/>
      <c r="AD289" s="22"/>
    </row>
    <row r="290" spans="18:30" x14ac:dyDescent="0.25">
      <c r="R290" s="22"/>
      <c r="S290" s="22"/>
      <c r="T290" s="331"/>
      <c r="U290" s="22"/>
      <c r="V290" s="22"/>
      <c r="W290" s="22"/>
      <c r="X290" s="22"/>
      <c r="Y290" s="22"/>
      <c r="Z290" s="22"/>
      <c r="AA290" s="22"/>
      <c r="AB290" s="22"/>
      <c r="AC290" s="41"/>
      <c r="AD290" s="22"/>
    </row>
    <row r="291" spans="18:30" x14ac:dyDescent="0.25">
      <c r="R291" s="22"/>
      <c r="S291" s="22"/>
      <c r="T291" s="331"/>
      <c r="U291" s="22"/>
      <c r="V291" s="22"/>
      <c r="W291" s="22"/>
      <c r="X291" s="22"/>
      <c r="Y291" s="22"/>
      <c r="Z291" s="22"/>
      <c r="AA291" s="22"/>
      <c r="AB291" s="22"/>
      <c r="AC291" s="41"/>
      <c r="AD291" s="22"/>
    </row>
    <row r="292" spans="18:30" x14ac:dyDescent="0.25">
      <c r="R292" s="22"/>
      <c r="S292" s="22"/>
      <c r="T292" s="331"/>
      <c r="U292" s="22"/>
      <c r="V292" s="22"/>
      <c r="W292" s="22"/>
      <c r="X292" s="22"/>
      <c r="Y292" s="22"/>
      <c r="Z292" s="22"/>
      <c r="AA292" s="22"/>
      <c r="AB292" s="22"/>
      <c r="AC292" s="41"/>
      <c r="AD292" s="22"/>
    </row>
    <row r="293" spans="18:30" x14ac:dyDescent="0.25">
      <c r="R293" s="22"/>
      <c r="S293" s="22"/>
      <c r="T293" s="331"/>
      <c r="U293" s="22"/>
      <c r="V293" s="22"/>
      <c r="W293" s="22"/>
      <c r="X293" s="22"/>
      <c r="Y293" s="22"/>
      <c r="Z293" s="22"/>
      <c r="AA293" s="22"/>
      <c r="AB293" s="22"/>
      <c r="AC293" s="41"/>
      <c r="AD293" s="22"/>
    </row>
    <row r="294" spans="18:30" x14ac:dyDescent="0.25">
      <c r="R294" s="22"/>
      <c r="S294" s="22"/>
      <c r="T294" s="331"/>
      <c r="U294" s="22"/>
      <c r="V294" s="22"/>
      <c r="W294" s="22"/>
      <c r="X294" s="22"/>
      <c r="Y294" s="22"/>
      <c r="Z294" s="22"/>
      <c r="AA294" s="22"/>
      <c r="AB294" s="22"/>
      <c r="AC294" s="41"/>
      <c r="AD294" s="22"/>
    </row>
    <row r="295" spans="18:30" x14ac:dyDescent="0.25">
      <c r="R295" s="22"/>
      <c r="S295" s="22"/>
      <c r="T295" s="331"/>
      <c r="U295" s="22"/>
      <c r="V295" s="22"/>
      <c r="W295" s="22"/>
      <c r="X295" s="22"/>
      <c r="Y295" s="22"/>
      <c r="Z295" s="22"/>
      <c r="AA295" s="22"/>
      <c r="AB295" s="22"/>
      <c r="AC295" s="41"/>
      <c r="AD295" s="22"/>
    </row>
    <row r="296" spans="18:30" x14ac:dyDescent="0.25">
      <c r="R296" s="22"/>
      <c r="S296" s="22"/>
      <c r="T296" s="331"/>
      <c r="U296" s="22"/>
      <c r="V296" s="22"/>
      <c r="W296" s="22"/>
      <c r="X296" s="22"/>
      <c r="Y296" s="22"/>
      <c r="Z296" s="22"/>
      <c r="AA296" s="22"/>
      <c r="AB296" s="22"/>
      <c r="AC296" s="41"/>
      <c r="AD296" s="22"/>
    </row>
    <row r="297" spans="18:30" x14ac:dyDescent="0.25">
      <c r="R297" s="22"/>
      <c r="S297" s="22"/>
      <c r="T297" s="331"/>
      <c r="U297" s="22"/>
      <c r="V297" s="22"/>
      <c r="W297" s="22"/>
      <c r="X297" s="22"/>
      <c r="Y297" s="22"/>
      <c r="Z297" s="22"/>
      <c r="AA297" s="22"/>
      <c r="AB297" s="22"/>
      <c r="AC297" s="41"/>
      <c r="AD297" s="22"/>
    </row>
    <row r="298" spans="18:30" x14ac:dyDescent="0.25">
      <c r="R298" s="22"/>
      <c r="S298" s="22"/>
      <c r="T298" s="331"/>
      <c r="U298" s="22"/>
      <c r="V298" s="22"/>
      <c r="W298" s="22"/>
      <c r="X298" s="22"/>
      <c r="Y298" s="22"/>
      <c r="Z298" s="22"/>
      <c r="AA298" s="22"/>
      <c r="AB298" s="22"/>
      <c r="AC298" s="41"/>
      <c r="AD298" s="22"/>
    </row>
    <row r="299" spans="18:30" x14ac:dyDescent="0.25">
      <c r="R299" s="22"/>
      <c r="S299" s="22"/>
      <c r="T299" s="331"/>
      <c r="U299" s="22"/>
      <c r="V299" s="22"/>
      <c r="W299" s="22"/>
      <c r="X299" s="22"/>
      <c r="Y299" s="22"/>
      <c r="Z299" s="22"/>
      <c r="AA299" s="22"/>
      <c r="AB299" s="22"/>
      <c r="AC299" s="41"/>
      <c r="AD299" s="22"/>
    </row>
    <row r="300" spans="18:30" x14ac:dyDescent="0.25">
      <c r="R300" s="22"/>
      <c r="S300" s="22"/>
      <c r="T300" s="331"/>
      <c r="U300" s="22"/>
      <c r="V300" s="22"/>
      <c r="W300" s="22"/>
      <c r="X300" s="22"/>
      <c r="Y300" s="22"/>
      <c r="Z300" s="22"/>
      <c r="AA300" s="22"/>
      <c r="AB300" s="22"/>
      <c r="AC300" s="41"/>
      <c r="AD300" s="22"/>
    </row>
    <row r="301" spans="18:30" x14ac:dyDescent="0.25">
      <c r="R301" s="22"/>
      <c r="S301" s="22"/>
      <c r="T301" s="331"/>
      <c r="U301" s="22"/>
      <c r="V301" s="22"/>
      <c r="W301" s="22"/>
      <c r="X301" s="22"/>
      <c r="Y301" s="22"/>
      <c r="Z301" s="22"/>
      <c r="AA301" s="22"/>
      <c r="AB301" s="22"/>
      <c r="AC301" s="41"/>
      <c r="AD301" s="22"/>
    </row>
    <row r="302" spans="18:30" x14ac:dyDescent="0.25">
      <c r="R302" s="22"/>
      <c r="S302" s="22"/>
      <c r="T302" s="331"/>
      <c r="U302" s="22"/>
      <c r="V302" s="22"/>
      <c r="W302" s="22"/>
      <c r="X302" s="22"/>
      <c r="Y302" s="22"/>
      <c r="Z302" s="22"/>
      <c r="AA302" s="22"/>
      <c r="AB302" s="22"/>
      <c r="AC302" s="41"/>
      <c r="AD302" s="22"/>
    </row>
    <row r="303" spans="18:30" x14ac:dyDescent="0.25">
      <c r="R303" s="22"/>
      <c r="S303" s="22"/>
      <c r="T303" s="331"/>
      <c r="U303" s="22"/>
      <c r="V303" s="22"/>
      <c r="W303" s="22"/>
      <c r="X303" s="22"/>
      <c r="Y303" s="22"/>
      <c r="Z303" s="22"/>
      <c r="AA303" s="22"/>
      <c r="AB303" s="22"/>
      <c r="AC303" s="41"/>
      <c r="AD303" s="22"/>
    </row>
    <row r="304" spans="18:30" x14ac:dyDescent="0.25">
      <c r="R304" s="22"/>
      <c r="S304" s="22"/>
      <c r="T304" s="331"/>
      <c r="U304" s="22"/>
      <c r="V304" s="22"/>
      <c r="W304" s="22"/>
      <c r="X304" s="22"/>
      <c r="Y304" s="22"/>
      <c r="Z304" s="22"/>
      <c r="AA304" s="22"/>
      <c r="AB304" s="22"/>
      <c r="AC304" s="41"/>
      <c r="AD304" s="22"/>
    </row>
    <row r="305" spans="18:30" x14ac:dyDescent="0.25">
      <c r="R305" s="22"/>
      <c r="S305" s="22"/>
      <c r="T305" s="331"/>
      <c r="U305" s="22"/>
      <c r="V305" s="22"/>
      <c r="W305" s="22"/>
      <c r="X305" s="22"/>
      <c r="Y305" s="22"/>
      <c r="Z305" s="22"/>
      <c r="AA305" s="22"/>
      <c r="AB305" s="22"/>
      <c r="AC305" s="41"/>
      <c r="AD305" s="22"/>
    </row>
    <row r="306" spans="18:30" x14ac:dyDescent="0.25">
      <c r="R306" s="22"/>
      <c r="S306" s="22"/>
      <c r="T306" s="331"/>
      <c r="U306" s="22"/>
      <c r="V306" s="22"/>
      <c r="W306" s="22"/>
      <c r="X306" s="22"/>
      <c r="Y306" s="22"/>
      <c r="Z306" s="22"/>
      <c r="AA306" s="22"/>
      <c r="AB306" s="22"/>
      <c r="AC306" s="41"/>
      <c r="AD306" s="22"/>
    </row>
    <row r="307" spans="18:30" x14ac:dyDescent="0.25">
      <c r="R307" s="22"/>
      <c r="S307" s="22"/>
      <c r="T307" s="331"/>
      <c r="U307" s="22"/>
      <c r="V307" s="22"/>
      <c r="W307" s="22"/>
      <c r="X307" s="22"/>
      <c r="Y307" s="22"/>
      <c r="Z307" s="22"/>
      <c r="AA307" s="22"/>
      <c r="AB307" s="22"/>
      <c r="AC307" s="41"/>
      <c r="AD307" s="22"/>
    </row>
    <row r="308" spans="18:30" x14ac:dyDescent="0.25">
      <c r="R308" s="22"/>
      <c r="S308" s="22"/>
      <c r="T308" s="331"/>
      <c r="U308" s="22"/>
      <c r="V308" s="22"/>
      <c r="W308" s="22"/>
      <c r="X308" s="22"/>
      <c r="Y308" s="22"/>
      <c r="Z308" s="22"/>
      <c r="AA308" s="22"/>
      <c r="AB308" s="22"/>
      <c r="AC308" s="41"/>
      <c r="AD308" s="22"/>
    </row>
    <row r="309" spans="18:30" x14ac:dyDescent="0.25">
      <c r="R309" s="22"/>
      <c r="S309" s="22"/>
      <c r="T309" s="331"/>
      <c r="U309" s="22"/>
      <c r="V309" s="22"/>
      <c r="W309" s="22"/>
      <c r="X309" s="22"/>
      <c r="Y309" s="22"/>
      <c r="Z309" s="22"/>
      <c r="AA309" s="22"/>
      <c r="AB309" s="22"/>
      <c r="AC309" s="41"/>
      <c r="AD309" s="22"/>
    </row>
    <row r="310" spans="18:30" x14ac:dyDescent="0.25">
      <c r="R310" s="22"/>
      <c r="S310" s="22"/>
      <c r="T310" s="331"/>
      <c r="U310" s="22"/>
      <c r="V310" s="22"/>
      <c r="W310" s="22"/>
      <c r="X310" s="22"/>
      <c r="Y310" s="22"/>
      <c r="Z310" s="22"/>
      <c r="AA310" s="22"/>
      <c r="AB310" s="22"/>
      <c r="AC310" s="41"/>
      <c r="AD310" s="22"/>
    </row>
    <row r="311" spans="18:30" x14ac:dyDescent="0.25">
      <c r="R311" s="22"/>
      <c r="S311" s="22"/>
      <c r="T311" s="331"/>
      <c r="U311" s="22"/>
      <c r="V311" s="22"/>
      <c r="W311" s="22"/>
      <c r="X311" s="22"/>
      <c r="Y311" s="22"/>
      <c r="Z311" s="22"/>
      <c r="AA311" s="22"/>
      <c r="AB311" s="22"/>
      <c r="AC311" s="41"/>
      <c r="AD311" s="22"/>
    </row>
    <row r="312" spans="18:30" x14ac:dyDescent="0.25">
      <c r="R312" s="22"/>
      <c r="S312" s="22"/>
      <c r="T312" s="331"/>
      <c r="U312" s="22"/>
      <c r="V312" s="22"/>
      <c r="W312" s="22"/>
      <c r="X312" s="22"/>
      <c r="Y312" s="22"/>
      <c r="Z312" s="22"/>
      <c r="AA312" s="22"/>
      <c r="AB312" s="22"/>
      <c r="AC312" s="41"/>
      <c r="AD312" s="22"/>
    </row>
    <row r="313" spans="18:30" x14ac:dyDescent="0.25">
      <c r="R313" s="22"/>
      <c r="S313" s="22"/>
      <c r="T313" s="331"/>
      <c r="U313" s="22"/>
      <c r="V313" s="22"/>
      <c r="W313" s="22"/>
      <c r="X313" s="22"/>
      <c r="Y313" s="22"/>
      <c r="Z313" s="22"/>
      <c r="AA313" s="22"/>
      <c r="AB313" s="22"/>
      <c r="AC313" s="41"/>
      <c r="AD313" s="22"/>
    </row>
    <row r="314" spans="18:30" x14ac:dyDescent="0.25">
      <c r="R314" s="22"/>
      <c r="S314" s="22"/>
      <c r="T314" s="331"/>
      <c r="U314" s="22"/>
      <c r="V314" s="22"/>
      <c r="W314" s="22"/>
      <c r="X314" s="22"/>
      <c r="Y314" s="22"/>
      <c r="Z314" s="22"/>
      <c r="AA314" s="22"/>
      <c r="AB314" s="22"/>
      <c r="AC314" s="41"/>
      <c r="AD314" s="22"/>
    </row>
    <row r="315" spans="18:30" x14ac:dyDescent="0.25">
      <c r="R315" s="22"/>
      <c r="S315" s="22"/>
      <c r="T315" s="331"/>
      <c r="U315" s="22"/>
      <c r="V315" s="22"/>
      <c r="W315" s="22"/>
      <c r="X315" s="22"/>
      <c r="Y315" s="22"/>
      <c r="Z315" s="22"/>
      <c r="AA315" s="22"/>
      <c r="AB315" s="22"/>
      <c r="AC315" s="41"/>
      <c r="AD315" s="22"/>
    </row>
    <row r="316" spans="18:30" x14ac:dyDescent="0.25">
      <c r="R316" s="22"/>
      <c r="S316" s="22"/>
      <c r="T316" s="331"/>
      <c r="U316" s="22"/>
      <c r="V316" s="22"/>
      <c r="W316" s="22"/>
      <c r="X316" s="22"/>
      <c r="Y316" s="22"/>
      <c r="Z316" s="22"/>
      <c r="AA316" s="22"/>
      <c r="AB316" s="22"/>
      <c r="AC316" s="41"/>
      <c r="AD316" s="22"/>
    </row>
    <row r="317" spans="18:30" x14ac:dyDescent="0.25">
      <c r="R317" s="22"/>
      <c r="S317" s="22"/>
      <c r="T317" s="331"/>
      <c r="U317" s="22"/>
      <c r="V317" s="22"/>
      <c r="W317" s="22"/>
      <c r="X317" s="22"/>
      <c r="Y317" s="22"/>
      <c r="Z317" s="22"/>
      <c r="AA317" s="22"/>
      <c r="AB317" s="22"/>
      <c r="AC317" s="41"/>
      <c r="AD317" s="22"/>
    </row>
    <row r="318" spans="18:30" x14ac:dyDescent="0.25">
      <c r="R318" s="22"/>
      <c r="S318" s="22"/>
      <c r="T318" s="331"/>
      <c r="U318" s="22"/>
      <c r="V318" s="22"/>
      <c r="W318" s="22"/>
      <c r="X318" s="22"/>
      <c r="Y318" s="22"/>
      <c r="Z318" s="22"/>
      <c r="AA318" s="22"/>
      <c r="AB318" s="22"/>
      <c r="AC318" s="41"/>
      <c r="AD318" s="22"/>
    </row>
    <row r="319" spans="18:30" x14ac:dyDescent="0.25">
      <c r="R319" s="22"/>
      <c r="S319" s="22"/>
      <c r="T319" s="331"/>
      <c r="U319" s="22"/>
      <c r="V319" s="22"/>
      <c r="W319" s="22"/>
      <c r="X319" s="22"/>
      <c r="Y319" s="22"/>
      <c r="Z319" s="22"/>
      <c r="AA319" s="22"/>
      <c r="AB319" s="22"/>
      <c r="AC319" s="41"/>
      <c r="AD319" s="22"/>
    </row>
    <row r="320" spans="18:30" x14ac:dyDescent="0.25">
      <c r="R320" s="22"/>
      <c r="S320" s="22"/>
      <c r="T320" s="331"/>
      <c r="U320" s="22"/>
      <c r="V320" s="22"/>
      <c r="W320" s="22"/>
      <c r="X320" s="22"/>
      <c r="Y320" s="22"/>
      <c r="Z320" s="22"/>
      <c r="AA320" s="22"/>
      <c r="AB320" s="22"/>
      <c r="AC320" s="41"/>
      <c r="AD320" s="22"/>
    </row>
    <row r="321" spans="18:30" x14ac:dyDescent="0.25">
      <c r="R321" s="22"/>
      <c r="S321" s="22"/>
      <c r="T321" s="331"/>
      <c r="U321" s="22"/>
      <c r="V321" s="22"/>
      <c r="W321" s="22"/>
      <c r="X321" s="22"/>
      <c r="Y321" s="22"/>
      <c r="Z321" s="22"/>
      <c r="AA321" s="22"/>
      <c r="AB321" s="22"/>
      <c r="AC321" s="41"/>
      <c r="AD321" s="22"/>
    </row>
    <row r="322" spans="18:30" x14ac:dyDescent="0.25">
      <c r="R322" s="22"/>
      <c r="S322" s="22"/>
      <c r="T322" s="331"/>
      <c r="U322" s="22"/>
      <c r="V322" s="22"/>
      <c r="W322" s="22"/>
      <c r="X322" s="22"/>
      <c r="Y322" s="22"/>
      <c r="Z322" s="22"/>
      <c r="AA322" s="22"/>
      <c r="AB322" s="22"/>
      <c r="AC322" s="41"/>
      <c r="AD322" s="22"/>
    </row>
    <row r="323" spans="18:30" x14ac:dyDescent="0.25">
      <c r="R323" s="22"/>
      <c r="S323" s="22"/>
      <c r="T323" s="331"/>
      <c r="U323" s="22"/>
      <c r="V323" s="22"/>
      <c r="W323" s="22"/>
      <c r="X323" s="22"/>
      <c r="Y323" s="22"/>
      <c r="Z323" s="22"/>
      <c r="AA323" s="22"/>
      <c r="AB323" s="22"/>
      <c r="AC323" s="41"/>
      <c r="AD323" s="22"/>
    </row>
    <row r="324" spans="18:30" x14ac:dyDescent="0.25">
      <c r="R324" s="22"/>
      <c r="S324" s="22"/>
      <c r="T324" s="331"/>
      <c r="U324" s="22"/>
      <c r="V324" s="22"/>
      <c r="W324" s="22"/>
      <c r="X324" s="22"/>
      <c r="Y324" s="22"/>
      <c r="Z324" s="22"/>
      <c r="AA324" s="22"/>
      <c r="AB324" s="22"/>
      <c r="AC324" s="41"/>
      <c r="AD324" s="22"/>
    </row>
    <row r="325" spans="18:30" x14ac:dyDescent="0.25">
      <c r="R325" s="22"/>
      <c r="S325" s="22"/>
      <c r="T325" s="331"/>
      <c r="U325" s="22"/>
      <c r="V325" s="22"/>
      <c r="W325" s="22"/>
      <c r="X325" s="22"/>
      <c r="Y325" s="22"/>
      <c r="Z325" s="22"/>
      <c r="AA325" s="22"/>
      <c r="AB325" s="22"/>
      <c r="AC325" s="41"/>
      <c r="AD325" s="22"/>
    </row>
    <row r="326" spans="18:30" x14ac:dyDescent="0.25">
      <c r="R326" s="22"/>
      <c r="S326" s="22"/>
      <c r="T326" s="331"/>
      <c r="U326" s="22"/>
      <c r="V326" s="22"/>
      <c r="W326" s="22"/>
      <c r="X326" s="22"/>
      <c r="Y326" s="22"/>
      <c r="Z326" s="22"/>
      <c r="AA326" s="22"/>
      <c r="AB326" s="22"/>
      <c r="AC326" s="41"/>
      <c r="AD326" s="22"/>
    </row>
    <row r="327" spans="18:30" x14ac:dyDescent="0.25">
      <c r="R327" s="22"/>
      <c r="S327" s="22"/>
      <c r="T327" s="331"/>
      <c r="U327" s="22"/>
      <c r="V327" s="22"/>
      <c r="W327" s="22"/>
      <c r="X327" s="22"/>
      <c r="Y327" s="22"/>
      <c r="Z327" s="22"/>
      <c r="AA327" s="22"/>
      <c r="AB327" s="22"/>
      <c r="AC327" s="41"/>
      <c r="AD327" s="22"/>
    </row>
    <row r="328" spans="18:30" x14ac:dyDescent="0.25">
      <c r="R328" s="22"/>
      <c r="S328" s="22"/>
      <c r="T328" s="331"/>
      <c r="U328" s="22"/>
      <c r="V328" s="22"/>
      <c r="W328" s="22"/>
      <c r="X328" s="22"/>
      <c r="Y328" s="22"/>
      <c r="Z328" s="22"/>
      <c r="AA328" s="22"/>
      <c r="AB328" s="22"/>
      <c r="AC328" s="41"/>
      <c r="AD328" s="22"/>
    </row>
    <row r="329" spans="18:30" x14ac:dyDescent="0.25">
      <c r="R329" s="22"/>
      <c r="S329" s="22"/>
      <c r="T329" s="331"/>
      <c r="U329" s="22"/>
      <c r="V329" s="22"/>
      <c r="W329" s="22"/>
      <c r="X329" s="22"/>
      <c r="Y329" s="22"/>
      <c r="Z329" s="22"/>
      <c r="AA329" s="22"/>
      <c r="AB329" s="22"/>
      <c r="AC329" s="41"/>
      <c r="AD329" s="22"/>
    </row>
    <row r="330" spans="18:30" x14ac:dyDescent="0.25">
      <c r="R330" s="22"/>
      <c r="S330" s="22"/>
      <c r="T330" s="331"/>
      <c r="U330" s="22"/>
      <c r="V330" s="22"/>
      <c r="W330" s="22"/>
      <c r="X330" s="22"/>
      <c r="Y330" s="22"/>
      <c r="Z330" s="22"/>
      <c r="AA330" s="22"/>
      <c r="AB330" s="22"/>
      <c r="AC330" s="41"/>
      <c r="AD330" s="22"/>
    </row>
    <row r="331" spans="18:30" x14ac:dyDescent="0.25">
      <c r="R331" s="22"/>
      <c r="S331" s="22"/>
      <c r="T331" s="331"/>
      <c r="U331" s="22"/>
      <c r="V331" s="22"/>
      <c r="W331" s="22"/>
      <c r="X331" s="22"/>
      <c r="Y331" s="22"/>
      <c r="Z331" s="22"/>
      <c r="AA331" s="22"/>
      <c r="AB331" s="22"/>
      <c r="AC331" s="41"/>
      <c r="AD331" s="22"/>
    </row>
    <row r="332" spans="18:30" x14ac:dyDescent="0.25">
      <c r="R332" s="22"/>
      <c r="S332" s="22"/>
      <c r="T332" s="331"/>
      <c r="U332" s="22"/>
      <c r="V332" s="22"/>
      <c r="W332" s="22"/>
      <c r="X332" s="22"/>
      <c r="Y332" s="22"/>
      <c r="Z332" s="22"/>
      <c r="AA332" s="22"/>
      <c r="AB332" s="22"/>
      <c r="AC332" s="41"/>
      <c r="AD332" s="22"/>
    </row>
    <row r="333" spans="18:30" x14ac:dyDescent="0.25">
      <c r="R333" s="22"/>
      <c r="S333" s="22"/>
      <c r="T333" s="331"/>
      <c r="U333" s="22"/>
      <c r="V333" s="22"/>
      <c r="W333" s="22"/>
      <c r="X333" s="22"/>
      <c r="Y333" s="22"/>
      <c r="Z333" s="22"/>
      <c r="AA333" s="22"/>
      <c r="AB333" s="22"/>
      <c r="AC333" s="41"/>
      <c r="AD333" s="22"/>
    </row>
    <row r="334" spans="18:30" x14ac:dyDescent="0.25">
      <c r="R334" s="22"/>
      <c r="S334" s="22"/>
      <c r="T334" s="331"/>
      <c r="U334" s="22"/>
      <c r="V334" s="22"/>
      <c r="W334" s="22"/>
      <c r="X334" s="22"/>
      <c r="Y334" s="22"/>
      <c r="Z334" s="22"/>
      <c r="AA334" s="22"/>
      <c r="AB334" s="22"/>
      <c r="AC334" s="41"/>
      <c r="AD334" s="22"/>
    </row>
    <row r="335" spans="18:30" x14ac:dyDescent="0.25">
      <c r="R335" s="22"/>
      <c r="S335" s="22"/>
      <c r="T335" s="331"/>
      <c r="U335" s="22"/>
      <c r="V335" s="22"/>
      <c r="W335" s="22"/>
      <c r="X335" s="22"/>
      <c r="Y335" s="22"/>
      <c r="Z335" s="22"/>
      <c r="AA335" s="22"/>
      <c r="AB335" s="22"/>
      <c r="AC335" s="41"/>
      <c r="AD335" s="22"/>
    </row>
    <row r="336" spans="18:30" x14ac:dyDescent="0.25">
      <c r="R336" s="22"/>
      <c r="S336" s="22"/>
      <c r="T336" s="331"/>
      <c r="U336" s="22"/>
      <c r="V336" s="22"/>
      <c r="W336" s="22"/>
      <c r="X336" s="22"/>
      <c r="Y336" s="22"/>
      <c r="Z336" s="22"/>
      <c r="AA336" s="22"/>
      <c r="AB336" s="22"/>
      <c r="AC336" s="41"/>
      <c r="AD336" s="22"/>
    </row>
    <row r="337" spans="18:30" x14ac:dyDescent="0.25">
      <c r="R337" s="22"/>
      <c r="S337" s="22"/>
      <c r="T337" s="331"/>
      <c r="U337" s="22"/>
      <c r="V337" s="22"/>
      <c r="W337" s="22"/>
      <c r="X337" s="22"/>
      <c r="Y337" s="22"/>
      <c r="Z337" s="22"/>
      <c r="AA337" s="22"/>
      <c r="AB337" s="22"/>
      <c r="AC337" s="41"/>
      <c r="AD337" s="22"/>
    </row>
    <row r="338" spans="18:30" x14ac:dyDescent="0.25">
      <c r="R338" s="22"/>
      <c r="S338" s="22"/>
      <c r="T338" s="331"/>
      <c r="U338" s="22"/>
      <c r="V338" s="22"/>
      <c r="W338" s="22"/>
      <c r="X338" s="22"/>
      <c r="Y338" s="22"/>
      <c r="Z338" s="22"/>
      <c r="AA338" s="22"/>
      <c r="AB338" s="22"/>
      <c r="AC338" s="41"/>
      <c r="AD338" s="22"/>
    </row>
    <row r="339" spans="18:30" x14ac:dyDescent="0.25">
      <c r="R339" s="22"/>
      <c r="S339" s="22"/>
      <c r="T339" s="331"/>
      <c r="U339" s="22"/>
      <c r="V339" s="22"/>
      <c r="W339" s="22"/>
      <c r="X339" s="22"/>
      <c r="Y339" s="22"/>
      <c r="Z339" s="22"/>
      <c r="AA339" s="22"/>
      <c r="AB339" s="22"/>
      <c r="AC339" s="41"/>
      <c r="AD339" s="22"/>
    </row>
    <row r="340" spans="18:30" x14ac:dyDescent="0.25">
      <c r="R340" s="22"/>
      <c r="S340" s="22"/>
      <c r="T340" s="331"/>
      <c r="U340" s="22"/>
      <c r="V340" s="22"/>
      <c r="W340" s="22"/>
      <c r="X340" s="22"/>
      <c r="Y340" s="22"/>
      <c r="Z340" s="22"/>
      <c r="AA340" s="22"/>
      <c r="AB340" s="22"/>
      <c r="AC340" s="41"/>
      <c r="AD340" s="22"/>
    </row>
    <row r="341" spans="18:30" x14ac:dyDescent="0.25">
      <c r="R341" s="22"/>
      <c r="S341" s="22"/>
      <c r="T341" s="331"/>
      <c r="U341" s="22"/>
      <c r="V341" s="22"/>
      <c r="W341" s="22"/>
      <c r="X341" s="22"/>
      <c r="Y341" s="22"/>
      <c r="Z341" s="22"/>
      <c r="AA341" s="22"/>
      <c r="AB341" s="22"/>
      <c r="AC341" s="41"/>
      <c r="AD341" s="22"/>
    </row>
    <row r="342" spans="18:30" x14ac:dyDescent="0.25">
      <c r="R342" s="22"/>
      <c r="S342" s="22"/>
      <c r="T342" s="331"/>
      <c r="U342" s="22"/>
      <c r="V342" s="22"/>
      <c r="W342" s="22"/>
      <c r="X342" s="22"/>
      <c r="Y342" s="22"/>
      <c r="Z342" s="22"/>
      <c r="AA342" s="22"/>
      <c r="AB342" s="22"/>
      <c r="AC342" s="41"/>
      <c r="AD342" s="22"/>
    </row>
    <row r="343" spans="18:30" x14ac:dyDescent="0.25">
      <c r="R343" s="22"/>
      <c r="S343" s="22"/>
      <c r="T343" s="331"/>
      <c r="U343" s="22"/>
      <c r="V343" s="22"/>
      <c r="W343" s="22"/>
      <c r="X343" s="22"/>
      <c r="Y343" s="22"/>
      <c r="Z343" s="22"/>
      <c r="AA343" s="22"/>
      <c r="AB343" s="22"/>
      <c r="AC343" s="41"/>
      <c r="AD343" s="22"/>
    </row>
    <row r="344" spans="18:30" x14ac:dyDescent="0.25">
      <c r="R344" s="22"/>
      <c r="S344" s="22"/>
      <c r="T344" s="331"/>
      <c r="U344" s="22"/>
      <c r="V344" s="22"/>
      <c r="W344" s="22"/>
      <c r="X344" s="22"/>
      <c r="Y344" s="22"/>
      <c r="Z344" s="22"/>
      <c r="AA344" s="22"/>
      <c r="AB344" s="22"/>
      <c r="AC344" s="41"/>
      <c r="AD344" s="22"/>
    </row>
    <row r="345" spans="18:30" x14ac:dyDescent="0.25">
      <c r="R345" s="22"/>
      <c r="S345" s="22"/>
      <c r="T345" s="331"/>
      <c r="U345" s="22"/>
      <c r="V345" s="22"/>
      <c r="W345" s="22"/>
      <c r="X345" s="22"/>
      <c r="Y345" s="22"/>
      <c r="Z345" s="22"/>
      <c r="AA345" s="22"/>
      <c r="AB345" s="22"/>
      <c r="AC345" s="41"/>
      <c r="AD345" s="22"/>
    </row>
    <row r="346" spans="18:30" x14ac:dyDescent="0.25">
      <c r="R346" s="22"/>
      <c r="S346" s="22"/>
      <c r="T346" s="331"/>
      <c r="U346" s="22"/>
      <c r="V346" s="22"/>
      <c r="W346" s="22"/>
      <c r="X346" s="22"/>
      <c r="Y346" s="22"/>
      <c r="Z346" s="22"/>
      <c r="AA346" s="22"/>
      <c r="AB346" s="22"/>
      <c r="AC346" s="41"/>
      <c r="AD346" s="22"/>
    </row>
    <row r="347" spans="18:30" x14ac:dyDescent="0.25">
      <c r="R347" s="22"/>
      <c r="S347" s="22"/>
      <c r="T347" s="331"/>
      <c r="U347" s="22"/>
      <c r="V347" s="22"/>
      <c r="W347" s="22"/>
      <c r="X347" s="22"/>
      <c r="Y347" s="22"/>
      <c r="Z347" s="22"/>
      <c r="AA347" s="22"/>
      <c r="AB347" s="22"/>
      <c r="AC347" s="41"/>
      <c r="AD347" s="22"/>
    </row>
    <row r="348" spans="18:30" x14ac:dyDescent="0.25">
      <c r="R348" s="22"/>
      <c r="S348" s="22"/>
      <c r="T348" s="331"/>
      <c r="U348" s="22"/>
      <c r="V348" s="22"/>
      <c r="W348" s="22"/>
      <c r="X348" s="22"/>
      <c r="Y348" s="22"/>
      <c r="Z348" s="22"/>
      <c r="AA348" s="22"/>
      <c r="AB348" s="22"/>
      <c r="AC348" s="41"/>
      <c r="AD348" s="22"/>
    </row>
    <row r="349" spans="18:30" x14ac:dyDescent="0.25">
      <c r="R349" s="22"/>
      <c r="S349" s="22"/>
      <c r="T349" s="331"/>
      <c r="U349" s="22"/>
      <c r="V349" s="22"/>
      <c r="W349" s="22"/>
      <c r="X349" s="22"/>
      <c r="Y349" s="22"/>
      <c r="Z349" s="22"/>
      <c r="AA349" s="22"/>
      <c r="AB349" s="22"/>
      <c r="AC349" s="41"/>
      <c r="AD349" s="22"/>
    </row>
    <row r="350" spans="18:30" x14ac:dyDescent="0.25">
      <c r="R350" s="22"/>
      <c r="S350" s="22"/>
      <c r="T350" s="331"/>
      <c r="U350" s="22"/>
      <c r="V350" s="22"/>
      <c r="W350" s="22"/>
      <c r="X350" s="22"/>
      <c r="Y350" s="22"/>
      <c r="Z350" s="22"/>
      <c r="AA350" s="22"/>
      <c r="AB350" s="22"/>
      <c r="AC350" s="41"/>
      <c r="AD350" s="22"/>
    </row>
    <row r="351" spans="18:30" x14ac:dyDescent="0.25">
      <c r="R351" s="22"/>
      <c r="S351" s="22"/>
      <c r="T351" s="331"/>
      <c r="U351" s="22"/>
      <c r="V351" s="22"/>
      <c r="W351" s="22"/>
      <c r="X351" s="22"/>
      <c r="Y351" s="22"/>
      <c r="Z351" s="22"/>
      <c r="AA351" s="22"/>
      <c r="AB351" s="22"/>
      <c r="AC351" s="41"/>
      <c r="AD351" s="22"/>
    </row>
    <row r="352" spans="18:30" x14ac:dyDescent="0.25">
      <c r="R352" s="22"/>
      <c r="S352" s="22"/>
      <c r="T352" s="331"/>
      <c r="U352" s="22"/>
      <c r="V352" s="22"/>
      <c r="W352" s="22"/>
      <c r="X352" s="22"/>
      <c r="Y352" s="22"/>
      <c r="Z352" s="22"/>
      <c r="AA352" s="22"/>
      <c r="AB352" s="22"/>
      <c r="AC352" s="41"/>
      <c r="AD352" s="22"/>
    </row>
    <row r="353" spans="18:30" x14ac:dyDescent="0.25">
      <c r="R353" s="22"/>
      <c r="S353" s="22"/>
      <c r="T353" s="331"/>
      <c r="U353" s="22"/>
      <c r="V353" s="22"/>
      <c r="W353" s="22"/>
      <c r="X353" s="22"/>
      <c r="Y353" s="22"/>
      <c r="Z353" s="22"/>
      <c r="AA353" s="22"/>
      <c r="AB353" s="22"/>
      <c r="AC353" s="41"/>
      <c r="AD353" s="22"/>
    </row>
    <row r="354" spans="18:30" x14ac:dyDescent="0.25">
      <c r="R354" s="22"/>
      <c r="S354" s="22"/>
      <c r="T354" s="331"/>
      <c r="U354" s="22"/>
      <c r="V354" s="22"/>
      <c r="W354" s="22"/>
      <c r="X354" s="22"/>
      <c r="Y354" s="22"/>
      <c r="Z354" s="22"/>
      <c r="AA354" s="22"/>
      <c r="AB354" s="22"/>
      <c r="AC354" s="41"/>
      <c r="AD354" s="22"/>
    </row>
    <row r="355" spans="18:30" x14ac:dyDescent="0.25">
      <c r="R355" s="22"/>
      <c r="S355" s="22"/>
      <c r="T355" s="331"/>
      <c r="U355" s="22"/>
      <c r="V355" s="22"/>
      <c r="W355" s="22"/>
      <c r="X355" s="22"/>
      <c r="Y355" s="22"/>
      <c r="Z355" s="22"/>
      <c r="AA355" s="22"/>
      <c r="AB355" s="22"/>
      <c r="AC355" s="41"/>
      <c r="AD355" s="22"/>
    </row>
    <row r="356" spans="18:30" x14ac:dyDescent="0.25">
      <c r="R356" s="22"/>
      <c r="S356" s="22"/>
      <c r="T356" s="331"/>
      <c r="U356" s="22"/>
      <c r="V356" s="22"/>
      <c r="W356" s="22"/>
      <c r="X356" s="22"/>
      <c r="Y356" s="22"/>
      <c r="Z356" s="22"/>
      <c r="AA356" s="22"/>
      <c r="AB356" s="22"/>
      <c r="AC356" s="41"/>
      <c r="AD356" s="22"/>
    </row>
    <row r="357" spans="18:30" x14ac:dyDescent="0.25">
      <c r="R357" s="22"/>
      <c r="S357" s="22"/>
      <c r="T357" s="331"/>
      <c r="U357" s="22"/>
      <c r="V357" s="22"/>
      <c r="W357" s="22"/>
      <c r="X357" s="22"/>
      <c r="Y357" s="22"/>
      <c r="Z357" s="22"/>
      <c r="AA357" s="22"/>
      <c r="AB357" s="22"/>
      <c r="AC357" s="41"/>
      <c r="AD357" s="22"/>
    </row>
    <row r="358" spans="18:30" x14ac:dyDescent="0.25">
      <c r="R358" s="22"/>
      <c r="S358" s="22"/>
      <c r="T358" s="331"/>
      <c r="U358" s="22"/>
      <c r="V358" s="22"/>
      <c r="W358" s="22"/>
      <c r="X358" s="22"/>
      <c r="Y358" s="22"/>
      <c r="Z358" s="22"/>
      <c r="AA358" s="22"/>
      <c r="AB358" s="22"/>
      <c r="AC358" s="41"/>
      <c r="AD358" s="22"/>
    </row>
    <row r="359" spans="18:30" x14ac:dyDescent="0.25">
      <c r="R359" s="22"/>
      <c r="S359" s="22"/>
      <c r="T359" s="331"/>
      <c r="U359" s="22"/>
      <c r="V359" s="22"/>
      <c r="W359" s="22"/>
      <c r="X359" s="22"/>
      <c r="Y359" s="22"/>
      <c r="Z359" s="22"/>
      <c r="AA359" s="22"/>
      <c r="AB359" s="22"/>
      <c r="AC359" s="41"/>
      <c r="AD359" s="22"/>
    </row>
    <row r="360" spans="18:30" x14ac:dyDescent="0.25">
      <c r="R360" s="22"/>
      <c r="S360" s="22"/>
      <c r="T360" s="331"/>
      <c r="U360" s="22"/>
      <c r="V360" s="22"/>
      <c r="W360" s="22"/>
      <c r="X360" s="22"/>
      <c r="Y360" s="22"/>
      <c r="Z360" s="22"/>
      <c r="AA360" s="22"/>
      <c r="AB360" s="22"/>
      <c r="AC360" s="41"/>
      <c r="AD360" s="22"/>
    </row>
    <row r="361" spans="18:30" x14ac:dyDescent="0.25">
      <c r="R361" s="22"/>
      <c r="S361" s="22"/>
      <c r="T361" s="331"/>
      <c r="U361" s="22"/>
      <c r="V361" s="22"/>
      <c r="W361" s="22"/>
      <c r="X361" s="22"/>
      <c r="Y361" s="22"/>
      <c r="Z361" s="22"/>
      <c r="AA361" s="22"/>
      <c r="AB361" s="22"/>
      <c r="AC361" s="41"/>
      <c r="AD361" s="22"/>
    </row>
    <row r="362" spans="18:30" x14ac:dyDescent="0.25">
      <c r="R362" s="22"/>
      <c r="S362" s="22"/>
      <c r="T362" s="331"/>
      <c r="U362" s="22"/>
      <c r="V362" s="22"/>
      <c r="W362" s="22"/>
      <c r="X362" s="22"/>
      <c r="Y362" s="22"/>
      <c r="Z362" s="22"/>
      <c r="AA362" s="22"/>
      <c r="AB362" s="22"/>
      <c r="AC362" s="41"/>
      <c r="AD362" s="22"/>
    </row>
    <row r="363" spans="18:30" x14ac:dyDescent="0.25">
      <c r="R363" s="22"/>
      <c r="S363" s="22"/>
      <c r="T363" s="331"/>
      <c r="U363" s="22"/>
      <c r="V363" s="22"/>
      <c r="W363" s="22"/>
      <c r="X363" s="22"/>
      <c r="Y363" s="22"/>
      <c r="Z363" s="22"/>
      <c r="AA363" s="22"/>
      <c r="AB363" s="22"/>
      <c r="AC363" s="41"/>
      <c r="AD363" s="22"/>
    </row>
    <row r="364" spans="18:30" x14ac:dyDescent="0.25">
      <c r="R364" s="22"/>
      <c r="S364" s="22"/>
      <c r="T364" s="331"/>
      <c r="U364" s="22"/>
      <c r="V364" s="22"/>
      <c r="W364" s="22"/>
      <c r="X364" s="22"/>
      <c r="Y364" s="22"/>
      <c r="Z364" s="22"/>
      <c r="AA364" s="22"/>
      <c r="AB364" s="22"/>
      <c r="AC364" s="41"/>
      <c r="AD364" s="22"/>
    </row>
    <row r="365" spans="18:30" x14ac:dyDescent="0.25">
      <c r="R365" s="22"/>
      <c r="S365" s="22"/>
      <c r="T365" s="331"/>
      <c r="U365" s="22"/>
      <c r="V365" s="22"/>
      <c r="W365" s="22"/>
      <c r="X365" s="22"/>
      <c r="Y365" s="22"/>
      <c r="Z365" s="22"/>
      <c r="AA365" s="22"/>
      <c r="AB365" s="22"/>
      <c r="AC365" s="41"/>
      <c r="AD365" s="22"/>
    </row>
    <row r="366" spans="18:30" x14ac:dyDescent="0.25">
      <c r="R366" s="22"/>
      <c r="S366" s="22"/>
      <c r="T366" s="331"/>
      <c r="U366" s="22"/>
      <c r="V366" s="22"/>
      <c r="W366" s="22"/>
      <c r="X366" s="22"/>
      <c r="Y366" s="22"/>
      <c r="Z366" s="22"/>
      <c r="AA366" s="22"/>
      <c r="AB366" s="22"/>
      <c r="AC366" s="41"/>
      <c r="AD366" s="22"/>
    </row>
    <row r="367" spans="18:30" x14ac:dyDescent="0.25">
      <c r="R367" s="22"/>
      <c r="S367" s="22"/>
      <c r="T367" s="331"/>
      <c r="U367" s="22"/>
      <c r="V367" s="22"/>
      <c r="W367" s="22"/>
      <c r="X367" s="22"/>
      <c r="Y367" s="22"/>
      <c r="Z367" s="22"/>
      <c r="AA367" s="22"/>
      <c r="AB367" s="22"/>
      <c r="AC367" s="41"/>
      <c r="AD367" s="22"/>
    </row>
    <row r="368" spans="18:30" x14ac:dyDescent="0.25">
      <c r="R368" s="22"/>
      <c r="S368" s="22"/>
      <c r="T368" s="331"/>
      <c r="U368" s="22"/>
      <c r="V368" s="22"/>
      <c r="W368" s="22"/>
      <c r="X368" s="22"/>
      <c r="Y368" s="22"/>
      <c r="Z368" s="22"/>
      <c r="AA368" s="22"/>
      <c r="AB368" s="22"/>
      <c r="AC368" s="41"/>
      <c r="AD368" s="22"/>
    </row>
    <row r="369" spans="18:30" x14ac:dyDescent="0.25">
      <c r="R369" s="22"/>
      <c r="S369" s="22"/>
      <c r="T369" s="331"/>
      <c r="U369" s="22"/>
      <c r="V369" s="22"/>
      <c r="W369" s="22"/>
      <c r="X369" s="22"/>
      <c r="Y369" s="22"/>
      <c r="Z369" s="22"/>
      <c r="AA369" s="22"/>
      <c r="AB369" s="22"/>
      <c r="AC369" s="41"/>
      <c r="AD369" s="22"/>
    </row>
    <row r="370" spans="18:30" x14ac:dyDescent="0.25">
      <c r="R370" s="22"/>
      <c r="S370" s="22"/>
      <c r="T370" s="331"/>
      <c r="U370" s="22"/>
      <c r="V370" s="22"/>
      <c r="W370" s="22"/>
      <c r="X370" s="22"/>
      <c r="Y370" s="22"/>
      <c r="Z370" s="22"/>
      <c r="AA370" s="22"/>
      <c r="AB370" s="22"/>
      <c r="AC370" s="41"/>
      <c r="AD370" s="22"/>
    </row>
    <row r="371" spans="18:30" x14ac:dyDescent="0.25">
      <c r="R371" s="22"/>
      <c r="S371" s="22"/>
      <c r="T371" s="331"/>
      <c r="U371" s="22"/>
      <c r="V371" s="22"/>
      <c r="W371" s="22"/>
      <c r="X371" s="22"/>
      <c r="Y371" s="22"/>
      <c r="Z371" s="22"/>
      <c r="AA371" s="22"/>
      <c r="AB371" s="22"/>
      <c r="AC371" s="41"/>
      <c r="AD371" s="22"/>
    </row>
    <row r="372" spans="18:30" x14ac:dyDescent="0.25">
      <c r="R372" s="22"/>
      <c r="S372" s="22"/>
      <c r="T372" s="331"/>
      <c r="U372" s="22"/>
      <c r="V372" s="22"/>
      <c r="W372" s="22"/>
      <c r="X372" s="22"/>
      <c r="Y372" s="22"/>
      <c r="Z372" s="22"/>
      <c r="AA372" s="22"/>
      <c r="AB372" s="22"/>
      <c r="AC372" s="41"/>
      <c r="AD372" s="22"/>
    </row>
    <row r="373" spans="18:30" x14ac:dyDescent="0.25">
      <c r="R373" s="22"/>
      <c r="S373" s="22"/>
      <c r="T373" s="331"/>
      <c r="U373" s="22"/>
      <c r="V373" s="22"/>
      <c r="W373" s="22"/>
      <c r="X373" s="22"/>
      <c r="Y373" s="22"/>
      <c r="Z373" s="22"/>
      <c r="AA373" s="22"/>
      <c r="AB373" s="22"/>
      <c r="AC373" s="41"/>
      <c r="AD373" s="22"/>
    </row>
    <row r="374" spans="18:30" x14ac:dyDescent="0.25">
      <c r="R374" s="22"/>
      <c r="S374" s="22"/>
      <c r="T374" s="331"/>
      <c r="U374" s="22"/>
      <c r="V374" s="22"/>
      <c r="W374" s="22"/>
      <c r="X374" s="22"/>
      <c r="Y374" s="22"/>
      <c r="Z374" s="22"/>
      <c r="AA374" s="22"/>
      <c r="AB374" s="22"/>
      <c r="AC374" s="41"/>
      <c r="AD374" s="22"/>
    </row>
    <row r="375" spans="18:30" x14ac:dyDescent="0.25">
      <c r="R375" s="22"/>
      <c r="S375" s="22"/>
      <c r="T375" s="331"/>
      <c r="U375" s="22"/>
      <c r="V375" s="22"/>
      <c r="W375" s="22"/>
      <c r="X375" s="22"/>
      <c r="Y375" s="22"/>
      <c r="Z375" s="22"/>
      <c r="AA375" s="22"/>
      <c r="AB375" s="22"/>
      <c r="AC375" s="41"/>
      <c r="AD375" s="22"/>
    </row>
    <row r="376" spans="18:30" x14ac:dyDescent="0.25">
      <c r="R376" s="22"/>
      <c r="S376" s="22"/>
      <c r="T376" s="331"/>
      <c r="U376" s="22"/>
      <c r="V376" s="22"/>
      <c r="W376" s="22"/>
      <c r="X376" s="22"/>
      <c r="Y376" s="22"/>
      <c r="Z376" s="22"/>
      <c r="AA376" s="22"/>
      <c r="AB376" s="22"/>
      <c r="AC376" s="41"/>
      <c r="AD376" s="22"/>
    </row>
    <row r="377" spans="18:30" x14ac:dyDescent="0.25">
      <c r="R377" s="22"/>
      <c r="S377" s="22"/>
      <c r="T377" s="331"/>
      <c r="U377" s="22"/>
      <c r="V377" s="22"/>
      <c r="W377" s="22"/>
      <c r="X377" s="22"/>
      <c r="Y377" s="22"/>
      <c r="Z377" s="22"/>
      <c r="AA377" s="22"/>
      <c r="AB377" s="22"/>
      <c r="AC377" s="41"/>
      <c r="AD377" s="22"/>
    </row>
    <row r="378" spans="18:30" x14ac:dyDescent="0.25">
      <c r="R378" s="22"/>
      <c r="S378" s="22"/>
      <c r="T378" s="331"/>
      <c r="U378" s="22"/>
      <c r="V378" s="22"/>
      <c r="W378" s="22"/>
      <c r="X378" s="22"/>
      <c r="Y378" s="22"/>
      <c r="Z378" s="22"/>
      <c r="AA378" s="22"/>
      <c r="AB378" s="22"/>
      <c r="AC378" s="41"/>
      <c r="AD378" s="22"/>
    </row>
    <row r="379" spans="18:30" x14ac:dyDescent="0.25">
      <c r="R379" s="22"/>
      <c r="S379" s="22"/>
      <c r="T379" s="331"/>
      <c r="U379" s="22"/>
      <c r="V379" s="22"/>
      <c r="W379" s="22"/>
      <c r="X379" s="22"/>
      <c r="Y379" s="22"/>
      <c r="Z379" s="22"/>
      <c r="AA379" s="22"/>
      <c r="AB379" s="22"/>
      <c r="AC379" s="41"/>
      <c r="AD379" s="22"/>
    </row>
    <row r="380" spans="18:30" x14ac:dyDescent="0.25">
      <c r="R380" s="22"/>
      <c r="S380" s="22"/>
      <c r="T380" s="331"/>
      <c r="U380" s="22"/>
      <c r="V380" s="22"/>
      <c r="W380" s="22"/>
      <c r="X380" s="22"/>
      <c r="Y380" s="22"/>
      <c r="Z380" s="22"/>
      <c r="AA380" s="22"/>
      <c r="AB380" s="22"/>
      <c r="AC380" s="41"/>
      <c r="AD380" s="22"/>
    </row>
    <row r="381" spans="18:30" x14ac:dyDescent="0.25">
      <c r="R381" s="22"/>
      <c r="S381" s="22"/>
      <c r="T381" s="331"/>
      <c r="U381" s="22"/>
      <c r="V381" s="22"/>
      <c r="W381" s="22"/>
      <c r="X381" s="22"/>
      <c r="Y381" s="22"/>
      <c r="Z381" s="22"/>
      <c r="AA381" s="22"/>
      <c r="AB381" s="22"/>
      <c r="AC381" s="41"/>
      <c r="AD381" s="22"/>
    </row>
    <row r="382" spans="18:30" x14ac:dyDescent="0.25">
      <c r="R382" s="22"/>
      <c r="S382" s="22"/>
      <c r="T382" s="331"/>
      <c r="U382" s="22"/>
      <c r="V382" s="22"/>
      <c r="W382" s="22"/>
      <c r="X382" s="22"/>
      <c r="Y382" s="22"/>
      <c r="Z382" s="22"/>
      <c r="AA382" s="22"/>
      <c r="AB382" s="22"/>
      <c r="AC382" s="41"/>
      <c r="AD382" s="22"/>
    </row>
    <row r="383" spans="18:30" x14ac:dyDescent="0.25">
      <c r="R383" s="22"/>
      <c r="S383" s="22"/>
      <c r="T383" s="331"/>
      <c r="U383" s="22"/>
      <c r="V383" s="22"/>
      <c r="W383" s="22"/>
      <c r="X383" s="22"/>
      <c r="Y383" s="22"/>
      <c r="Z383" s="22"/>
      <c r="AA383" s="22"/>
      <c r="AB383" s="22"/>
      <c r="AC383" s="41"/>
      <c r="AD383" s="22"/>
    </row>
    <row r="384" spans="18:30" x14ac:dyDescent="0.25">
      <c r="R384" s="22"/>
      <c r="S384" s="22"/>
      <c r="T384" s="331"/>
      <c r="U384" s="22"/>
      <c r="V384" s="22"/>
      <c r="W384" s="22"/>
      <c r="X384" s="22"/>
      <c r="Y384" s="22"/>
      <c r="Z384" s="22"/>
      <c r="AA384" s="22"/>
      <c r="AB384" s="22"/>
      <c r="AC384" s="41"/>
      <c r="AD384" s="22"/>
    </row>
    <row r="385" spans="18:30" x14ac:dyDescent="0.25">
      <c r="R385" s="22"/>
      <c r="S385" s="22"/>
      <c r="T385" s="331"/>
      <c r="U385" s="22"/>
      <c r="V385" s="22"/>
      <c r="W385" s="22"/>
      <c r="X385" s="22"/>
      <c r="Y385" s="22"/>
      <c r="Z385" s="22"/>
      <c r="AA385" s="22"/>
      <c r="AB385" s="22"/>
      <c r="AC385" s="41"/>
      <c r="AD385" s="22"/>
    </row>
    <row r="386" spans="18:30" x14ac:dyDescent="0.25">
      <c r="R386" s="22"/>
      <c r="S386" s="22"/>
      <c r="T386" s="331"/>
      <c r="U386" s="22"/>
      <c r="V386" s="22"/>
      <c r="W386" s="22"/>
      <c r="X386" s="22"/>
      <c r="Y386" s="22"/>
      <c r="Z386" s="22"/>
      <c r="AA386" s="22"/>
      <c r="AB386" s="22"/>
      <c r="AC386" s="41"/>
      <c r="AD386" s="22"/>
    </row>
    <row r="387" spans="18:30" x14ac:dyDescent="0.25">
      <c r="R387" s="22"/>
      <c r="S387" s="22"/>
      <c r="T387" s="331"/>
      <c r="U387" s="22"/>
      <c r="V387" s="22"/>
      <c r="W387" s="22"/>
      <c r="X387" s="22"/>
      <c r="Y387" s="22"/>
      <c r="Z387" s="22"/>
      <c r="AA387" s="22"/>
      <c r="AB387" s="22"/>
      <c r="AC387" s="41"/>
      <c r="AD387" s="22"/>
    </row>
    <row r="388" spans="18:30" x14ac:dyDescent="0.25">
      <c r="R388" s="22"/>
      <c r="S388" s="22"/>
      <c r="T388" s="331"/>
      <c r="U388" s="22"/>
      <c r="V388" s="22"/>
      <c r="W388" s="22"/>
      <c r="X388" s="22"/>
      <c r="Y388" s="22"/>
      <c r="Z388" s="22"/>
      <c r="AA388" s="22"/>
      <c r="AB388" s="22"/>
      <c r="AC388" s="41"/>
      <c r="AD388" s="22"/>
    </row>
    <row r="389" spans="18:30" x14ac:dyDescent="0.25">
      <c r="R389" s="22"/>
      <c r="S389" s="22"/>
      <c r="T389" s="331"/>
      <c r="U389" s="22"/>
      <c r="V389" s="22"/>
      <c r="W389" s="22"/>
      <c r="X389" s="22"/>
      <c r="Y389" s="22"/>
      <c r="Z389" s="22"/>
      <c r="AA389" s="22"/>
      <c r="AB389" s="22"/>
      <c r="AC389" s="41"/>
      <c r="AD389" s="22"/>
    </row>
    <row r="390" spans="18:30" x14ac:dyDescent="0.25">
      <c r="R390" s="22"/>
      <c r="S390" s="22"/>
      <c r="T390" s="331"/>
      <c r="U390" s="22"/>
      <c r="V390" s="22"/>
      <c r="W390" s="22"/>
      <c r="X390" s="22"/>
      <c r="Y390" s="22"/>
      <c r="Z390" s="22"/>
      <c r="AA390" s="22"/>
      <c r="AB390" s="22"/>
      <c r="AC390" s="41"/>
      <c r="AD390" s="22"/>
    </row>
    <row r="391" spans="18:30" x14ac:dyDescent="0.25">
      <c r="R391" s="22"/>
      <c r="S391" s="22"/>
      <c r="T391" s="331"/>
      <c r="U391" s="22"/>
      <c r="V391" s="22"/>
      <c r="W391" s="22"/>
      <c r="X391" s="22"/>
      <c r="Y391" s="22"/>
      <c r="Z391" s="22"/>
      <c r="AA391" s="22"/>
      <c r="AB391" s="22"/>
      <c r="AC391" s="41"/>
      <c r="AD391" s="22"/>
    </row>
    <row r="392" spans="18:30" x14ac:dyDescent="0.25">
      <c r="R392" s="22"/>
      <c r="S392" s="22"/>
      <c r="T392" s="331"/>
      <c r="U392" s="22"/>
      <c r="V392" s="22"/>
      <c r="W392" s="22"/>
      <c r="X392" s="22"/>
      <c r="Y392" s="22"/>
      <c r="Z392" s="22"/>
      <c r="AA392" s="22"/>
      <c r="AB392" s="22"/>
      <c r="AC392" s="41"/>
      <c r="AD392" s="22"/>
    </row>
    <row r="393" spans="18:30" x14ac:dyDescent="0.25">
      <c r="R393" s="22"/>
      <c r="S393" s="22"/>
      <c r="T393" s="331"/>
      <c r="U393" s="22"/>
      <c r="V393" s="22"/>
      <c r="W393" s="22"/>
      <c r="X393" s="22"/>
      <c r="Y393" s="22"/>
      <c r="Z393" s="22"/>
      <c r="AA393" s="22"/>
      <c r="AB393" s="22"/>
      <c r="AC393" s="41"/>
      <c r="AD393" s="22"/>
    </row>
    <row r="394" spans="18:30" x14ac:dyDescent="0.25">
      <c r="R394" s="22"/>
      <c r="S394" s="22"/>
      <c r="T394" s="331"/>
      <c r="U394" s="22"/>
      <c r="V394" s="22"/>
      <c r="W394" s="22"/>
      <c r="X394" s="22"/>
      <c r="Y394" s="22"/>
      <c r="Z394" s="22"/>
      <c r="AA394" s="22"/>
      <c r="AB394" s="22"/>
      <c r="AC394" s="41"/>
      <c r="AD394" s="22"/>
    </row>
    <row r="395" spans="18:30" x14ac:dyDescent="0.25">
      <c r="R395" s="22"/>
      <c r="S395" s="22"/>
      <c r="T395" s="331"/>
      <c r="U395" s="22"/>
      <c r="V395" s="22"/>
      <c r="W395" s="22"/>
      <c r="X395" s="22"/>
      <c r="Y395" s="22"/>
      <c r="Z395" s="22"/>
      <c r="AA395" s="22"/>
      <c r="AB395" s="22"/>
      <c r="AC395" s="41"/>
      <c r="AD395" s="22"/>
    </row>
    <row r="396" spans="18:30" x14ac:dyDescent="0.25">
      <c r="R396" s="22"/>
      <c r="S396" s="22"/>
      <c r="T396" s="331"/>
      <c r="U396" s="22"/>
      <c r="V396" s="22"/>
      <c r="W396" s="22"/>
      <c r="X396" s="22"/>
      <c r="Y396" s="22"/>
      <c r="Z396" s="22"/>
      <c r="AA396" s="22"/>
      <c r="AB396" s="22"/>
      <c r="AC396" s="41"/>
      <c r="AD396" s="22"/>
    </row>
    <row r="397" spans="18:30" x14ac:dyDescent="0.25">
      <c r="R397" s="22"/>
      <c r="S397" s="22"/>
      <c r="T397" s="331"/>
      <c r="U397" s="22"/>
      <c r="V397" s="22"/>
      <c r="W397" s="22"/>
      <c r="X397" s="22"/>
      <c r="Y397" s="22"/>
      <c r="Z397" s="22"/>
      <c r="AA397" s="22"/>
      <c r="AB397" s="22"/>
      <c r="AC397" s="41"/>
      <c r="AD397" s="22"/>
    </row>
    <row r="398" spans="18:30" x14ac:dyDescent="0.25">
      <c r="R398" s="22"/>
      <c r="S398" s="22"/>
      <c r="T398" s="331"/>
      <c r="U398" s="22"/>
      <c r="V398" s="22"/>
      <c r="W398" s="22"/>
      <c r="X398" s="22"/>
      <c r="Y398" s="22"/>
      <c r="Z398" s="22"/>
      <c r="AA398" s="22"/>
      <c r="AB398" s="22"/>
      <c r="AC398" s="41"/>
      <c r="AD398" s="22"/>
    </row>
    <row r="399" spans="18:30" x14ac:dyDescent="0.25">
      <c r="R399" s="22"/>
      <c r="S399" s="22"/>
      <c r="T399" s="331"/>
      <c r="U399" s="22"/>
      <c r="V399" s="22"/>
      <c r="W399" s="22"/>
      <c r="X399" s="22"/>
      <c r="Y399" s="22"/>
      <c r="Z399" s="22"/>
      <c r="AA399" s="22"/>
      <c r="AB399" s="22"/>
      <c r="AC399" s="41"/>
      <c r="AD399" s="22"/>
    </row>
    <row r="400" spans="18:30" x14ac:dyDescent="0.25">
      <c r="R400" s="22"/>
      <c r="S400" s="22"/>
      <c r="T400" s="331"/>
      <c r="U400" s="22"/>
      <c r="V400" s="22"/>
      <c r="W400" s="22"/>
      <c r="X400" s="22"/>
      <c r="Y400" s="22"/>
      <c r="Z400" s="22"/>
      <c r="AA400" s="22"/>
      <c r="AB400" s="22"/>
      <c r="AC400" s="41"/>
      <c r="AD400" s="22"/>
    </row>
    <row r="401" spans="18:30" x14ac:dyDescent="0.25">
      <c r="R401" s="22"/>
      <c r="S401" s="22"/>
      <c r="T401" s="331"/>
      <c r="U401" s="22"/>
      <c r="V401" s="22"/>
      <c r="W401" s="22"/>
      <c r="X401" s="22"/>
      <c r="Y401" s="22"/>
      <c r="Z401" s="22"/>
      <c r="AA401" s="22"/>
      <c r="AB401" s="22"/>
      <c r="AC401" s="41"/>
      <c r="AD401" s="22"/>
    </row>
    <row r="402" spans="18:30" x14ac:dyDescent="0.25">
      <c r="R402" s="22"/>
      <c r="S402" s="22"/>
      <c r="T402" s="331"/>
      <c r="U402" s="22"/>
      <c r="V402" s="22"/>
      <c r="W402" s="22"/>
      <c r="X402" s="22"/>
      <c r="Y402" s="22"/>
      <c r="Z402" s="22"/>
      <c r="AA402" s="22"/>
      <c r="AB402" s="22"/>
      <c r="AC402" s="41"/>
      <c r="AD402" s="22"/>
    </row>
    <row r="403" spans="18:30" x14ac:dyDescent="0.25">
      <c r="R403" s="22"/>
      <c r="S403" s="22"/>
      <c r="T403" s="331"/>
      <c r="U403" s="22"/>
      <c r="V403" s="22"/>
      <c r="W403" s="22"/>
      <c r="X403" s="22"/>
      <c r="Y403" s="22"/>
      <c r="Z403" s="22"/>
      <c r="AA403" s="22"/>
      <c r="AB403" s="22"/>
      <c r="AC403" s="41"/>
      <c r="AD403" s="22"/>
    </row>
    <row r="404" spans="18:30" x14ac:dyDescent="0.25">
      <c r="R404" s="22"/>
      <c r="S404" s="22"/>
      <c r="T404" s="331"/>
      <c r="U404" s="22"/>
      <c r="V404" s="22"/>
      <c r="W404" s="22"/>
      <c r="X404" s="22"/>
      <c r="Y404" s="22"/>
      <c r="Z404" s="22"/>
      <c r="AA404" s="22"/>
      <c r="AB404" s="22"/>
      <c r="AC404" s="41"/>
      <c r="AD404" s="22"/>
    </row>
    <row r="405" spans="18:30" x14ac:dyDescent="0.25">
      <c r="R405" s="22"/>
      <c r="S405" s="22"/>
      <c r="T405" s="331"/>
      <c r="U405" s="22"/>
      <c r="V405" s="22"/>
      <c r="W405" s="22"/>
      <c r="X405" s="22"/>
      <c r="Y405" s="22"/>
      <c r="Z405" s="22"/>
      <c r="AA405" s="22"/>
      <c r="AB405" s="22"/>
      <c r="AC405" s="41"/>
      <c r="AD405" s="22"/>
    </row>
    <row r="406" spans="18:30" x14ac:dyDescent="0.25">
      <c r="R406" s="22"/>
      <c r="S406" s="22"/>
      <c r="T406" s="331"/>
      <c r="U406" s="22"/>
      <c r="V406" s="22"/>
      <c r="W406" s="22"/>
      <c r="X406" s="22"/>
      <c r="Y406" s="22"/>
      <c r="Z406" s="22"/>
      <c r="AA406" s="22"/>
      <c r="AB406" s="22"/>
      <c r="AC406" s="41"/>
      <c r="AD406" s="22"/>
    </row>
    <row r="407" spans="18:30" x14ac:dyDescent="0.25">
      <c r="R407" s="22"/>
      <c r="S407" s="22"/>
      <c r="T407" s="331"/>
      <c r="U407" s="22"/>
      <c r="V407" s="22"/>
      <c r="W407" s="22"/>
      <c r="X407" s="22"/>
      <c r="Y407" s="22"/>
      <c r="Z407" s="22"/>
      <c r="AA407" s="22"/>
      <c r="AB407" s="22"/>
      <c r="AC407" s="41"/>
      <c r="AD407" s="22"/>
    </row>
    <row r="408" spans="18:30" x14ac:dyDescent="0.25">
      <c r="R408" s="22"/>
      <c r="S408" s="22"/>
      <c r="T408" s="331"/>
      <c r="U408" s="22"/>
      <c r="V408" s="22"/>
      <c r="W408" s="22"/>
      <c r="X408" s="22"/>
      <c r="Y408" s="22"/>
      <c r="Z408" s="22"/>
      <c r="AA408" s="22"/>
      <c r="AB408" s="22"/>
      <c r="AC408" s="41"/>
      <c r="AD408" s="22"/>
    </row>
    <row r="409" spans="18:30" x14ac:dyDescent="0.25">
      <c r="R409" s="22"/>
      <c r="S409" s="22"/>
      <c r="T409" s="331"/>
      <c r="U409" s="22"/>
      <c r="V409" s="22"/>
      <c r="W409" s="22"/>
      <c r="X409" s="22"/>
      <c r="Y409" s="22"/>
      <c r="Z409" s="22"/>
      <c r="AA409" s="22"/>
      <c r="AB409" s="22"/>
      <c r="AC409" s="41"/>
      <c r="AD409" s="22"/>
    </row>
    <row r="410" spans="18:30" x14ac:dyDescent="0.25">
      <c r="R410" s="22"/>
      <c r="S410" s="22"/>
      <c r="T410" s="331"/>
      <c r="U410" s="22"/>
      <c r="V410" s="22"/>
      <c r="W410" s="22"/>
      <c r="X410" s="22"/>
      <c r="Y410" s="22"/>
      <c r="Z410" s="22"/>
      <c r="AA410" s="22"/>
      <c r="AB410" s="22"/>
      <c r="AC410" s="41"/>
      <c r="AD410" s="22"/>
    </row>
    <row r="411" spans="18:30" x14ac:dyDescent="0.25">
      <c r="R411" s="22"/>
      <c r="S411" s="22"/>
      <c r="T411" s="331"/>
      <c r="U411" s="22"/>
      <c r="V411" s="22"/>
      <c r="W411" s="22"/>
      <c r="X411" s="22"/>
      <c r="Y411" s="22"/>
      <c r="Z411" s="22"/>
      <c r="AA411" s="22"/>
      <c r="AB411" s="22"/>
      <c r="AC411" s="41"/>
      <c r="AD411" s="22"/>
    </row>
    <row r="412" spans="18:30" x14ac:dyDescent="0.25">
      <c r="R412" s="22"/>
      <c r="S412" s="22"/>
      <c r="T412" s="331"/>
      <c r="U412" s="22"/>
      <c r="V412" s="22"/>
      <c r="W412" s="22"/>
      <c r="X412" s="22"/>
      <c r="Y412" s="22"/>
      <c r="Z412" s="22"/>
      <c r="AA412" s="22"/>
      <c r="AB412" s="22"/>
      <c r="AC412" s="41"/>
      <c r="AD412" s="22"/>
    </row>
    <row r="413" spans="18:30" x14ac:dyDescent="0.25">
      <c r="R413" s="22"/>
      <c r="S413" s="22"/>
      <c r="T413" s="331"/>
      <c r="U413" s="22"/>
      <c r="V413" s="22"/>
      <c r="W413" s="22"/>
      <c r="X413" s="22"/>
      <c r="Y413" s="22"/>
      <c r="Z413" s="22"/>
      <c r="AA413" s="22"/>
      <c r="AB413" s="22"/>
      <c r="AC413" s="41"/>
      <c r="AD413" s="22"/>
    </row>
    <row r="414" spans="18:30" x14ac:dyDescent="0.25">
      <c r="R414" s="22"/>
      <c r="S414" s="22"/>
      <c r="T414" s="331"/>
      <c r="U414" s="22"/>
      <c r="V414" s="22"/>
      <c r="W414" s="22"/>
      <c r="X414" s="22"/>
      <c r="Y414" s="22"/>
      <c r="Z414" s="22"/>
      <c r="AA414" s="22"/>
      <c r="AB414" s="22"/>
      <c r="AC414" s="41"/>
      <c r="AD414" s="22"/>
    </row>
    <row r="415" spans="18:30" x14ac:dyDescent="0.25">
      <c r="R415" s="22"/>
      <c r="S415" s="22"/>
      <c r="T415" s="331"/>
      <c r="U415" s="22"/>
      <c r="V415" s="22"/>
      <c r="W415" s="22"/>
      <c r="X415" s="22"/>
      <c r="Y415" s="22"/>
      <c r="Z415" s="22"/>
      <c r="AA415" s="22"/>
      <c r="AB415" s="22"/>
      <c r="AC415" s="41"/>
      <c r="AD415" s="22"/>
    </row>
    <row r="416" spans="18:30" x14ac:dyDescent="0.25">
      <c r="R416" s="22"/>
      <c r="S416" s="22"/>
      <c r="T416" s="331"/>
      <c r="U416" s="22"/>
      <c r="V416" s="22"/>
      <c r="W416" s="22"/>
      <c r="X416" s="22"/>
      <c r="Y416" s="22"/>
      <c r="Z416" s="22"/>
      <c r="AA416" s="22"/>
      <c r="AB416" s="22"/>
      <c r="AC416" s="41"/>
      <c r="AD416" s="22"/>
    </row>
    <row r="417" spans="18:30" x14ac:dyDescent="0.25">
      <c r="R417" s="22"/>
      <c r="S417" s="22"/>
      <c r="T417" s="331"/>
      <c r="U417" s="22"/>
      <c r="V417" s="22"/>
      <c r="W417" s="22"/>
      <c r="X417" s="22"/>
      <c r="Y417" s="22"/>
      <c r="Z417" s="22"/>
      <c r="AA417" s="22"/>
      <c r="AB417" s="22"/>
      <c r="AC417" s="41"/>
      <c r="AD417" s="22"/>
    </row>
    <row r="418" spans="18:30" x14ac:dyDescent="0.25">
      <c r="R418" s="22"/>
      <c r="S418" s="22"/>
      <c r="T418" s="331"/>
      <c r="U418" s="22"/>
      <c r="V418" s="22"/>
      <c r="W418" s="22"/>
      <c r="X418" s="22"/>
      <c r="Y418" s="22"/>
      <c r="Z418" s="22"/>
      <c r="AA418" s="22"/>
      <c r="AB418" s="22"/>
      <c r="AC418" s="41"/>
      <c r="AD418" s="22"/>
    </row>
    <row r="419" spans="18:30" x14ac:dyDescent="0.25">
      <c r="R419" s="22"/>
      <c r="S419" s="22"/>
      <c r="T419" s="331"/>
      <c r="U419" s="22"/>
      <c r="V419" s="22"/>
      <c r="W419" s="22"/>
      <c r="X419" s="22"/>
      <c r="Y419" s="22"/>
      <c r="Z419" s="22"/>
      <c r="AA419" s="22"/>
      <c r="AB419" s="22"/>
      <c r="AC419" s="41"/>
      <c r="AD419" s="22"/>
    </row>
    <row r="420" spans="18:30" x14ac:dyDescent="0.25">
      <c r="R420" s="22"/>
      <c r="S420" s="22"/>
      <c r="T420" s="331"/>
      <c r="U420" s="22"/>
      <c r="V420" s="22"/>
      <c r="W420" s="22"/>
      <c r="X420" s="22"/>
      <c r="Y420" s="22"/>
      <c r="Z420" s="22"/>
      <c r="AA420" s="22"/>
      <c r="AB420" s="22"/>
      <c r="AC420" s="41"/>
      <c r="AD420" s="22"/>
    </row>
    <row r="421" spans="18:30" x14ac:dyDescent="0.25">
      <c r="R421" s="22"/>
      <c r="S421" s="22"/>
      <c r="T421" s="331"/>
      <c r="U421" s="22"/>
      <c r="V421" s="22"/>
      <c r="W421" s="22"/>
      <c r="X421" s="22"/>
      <c r="Y421" s="22"/>
      <c r="Z421" s="22"/>
      <c r="AA421" s="22"/>
      <c r="AB421" s="22"/>
      <c r="AC421" s="41"/>
      <c r="AD421" s="22"/>
    </row>
    <row r="422" spans="18:30" x14ac:dyDescent="0.25">
      <c r="R422" s="22"/>
      <c r="S422" s="22"/>
      <c r="T422" s="331"/>
      <c r="U422" s="22"/>
      <c r="V422" s="22"/>
      <c r="W422" s="22"/>
      <c r="X422" s="22"/>
      <c r="Y422" s="22"/>
      <c r="Z422" s="22"/>
      <c r="AA422" s="22"/>
      <c r="AB422" s="22"/>
      <c r="AC422" s="41"/>
      <c r="AD422" s="22"/>
    </row>
    <row r="423" spans="18:30" x14ac:dyDescent="0.25">
      <c r="R423" s="22"/>
      <c r="S423" s="22"/>
      <c r="T423" s="331"/>
      <c r="U423" s="22"/>
      <c r="V423" s="22"/>
      <c r="W423" s="22"/>
      <c r="X423" s="22"/>
      <c r="Y423" s="22"/>
      <c r="Z423" s="22"/>
      <c r="AA423" s="22"/>
      <c r="AB423" s="22"/>
      <c r="AC423" s="41"/>
      <c r="AD423" s="22"/>
    </row>
    <row r="424" spans="18:30" x14ac:dyDescent="0.25">
      <c r="R424" s="22"/>
      <c r="S424" s="22"/>
      <c r="T424" s="331"/>
      <c r="U424" s="22"/>
      <c r="V424" s="22"/>
      <c r="W424" s="22"/>
      <c r="X424" s="22"/>
      <c r="Y424" s="22"/>
      <c r="Z424" s="22"/>
      <c r="AA424" s="22"/>
      <c r="AB424" s="22"/>
      <c r="AC424" s="41"/>
      <c r="AD424" s="22"/>
    </row>
    <row r="425" spans="18:30" x14ac:dyDescent="0.25">
      <c r="R425" s="22"/>
      <c r="S425" s="22"/>
      <c r="T425" s="331"/>
      <c r="U425" s="22"/>
      <c r="V425" s="22"/>
      <c r="W425" s="22"/>
      <c r="X425" s="22"/>
      <c r="Y425" s="22"/>
      <c r="Z425" s="22"/>
      <c r="AA425" s="22"/>
      <c r="AB425" s="22"/>
      <c r="AC425" s="41"/>
      <c r="AD425" s="22"/>
    </row>
    <row r="426" spans="18:30" x14ac:dyDescent="0.25">
      <c r="R426" s="22"/>
      <c r="S426" s="22"/>
      <c r="T426" s="331"/>
      <c r="U426" s="22"/>
      <c r="V426" s="22"/>
      <c r="W426" s="22"/>
      <c r="X426" s="22"/>
      <c r="Y426" s="22"/>
      <c r="Z426" s="22"/>
      <c r="AA426" s="22"/>
      <c r="AB426" s="22"/>
      <c r="AC426" s="41"/>
      <c r="AD426" s="22"/>
    </row>
    <row r="427" spans="18:30" x14ac:dyDescent="0.25">
      <c r="R427" s="22"/>
      <c r="S427" s="22"/>
      <c r="T427" s="331"/>
      <c r="U427" s="22"/>
      <c r="V427" s="22"/>
      <c r="W427" s="22"/>
      <c r="X427" s="22"/>
      <c r="Y427" s="22"/>
      <c r="Z427" s="22"/>
      <c r="AA427" s="22"/>
      <c r="AB427" s="22"/>
      <c r="AC427" s="41"/>
      <c r="AD427" s="22"/>
    </row>
    <row r="428" spans="18:30" x14ac:dyDescent="0.25">
      <c r="R428" s="22"/>
      <c r="S428" s="22"/>
      <c r="T428" s="331"/>
      <c r="U428" s="22"/>
      <c r="V428" s="22"/>
      <c r="W428" s="22"/>
      <c r="X428" s="22"/>
      <c r="Y428" s="22"/>
      <c r="Z428" s="22"/>
      <c r="AA428" s="22"/>
      <c r="AB428" s="22"/>
      <c r="AC428" s="41"/>
      <c r="AD428" s="22"/>
    </row>
    <row r="429" spans="18:30" x14ac:dyDescent="0.25">
      <c r="R429" s="22"/>
      <c r="S429" s="22"/>
      <c r="T429" s="331"/>
      <c r="U429" s="22"/>
      <c r="V429" s="22"/>
      <c r="W429" s="22"/>
      <c r="X429" s="22"/>
      <c r="Y429" s="22"/>
      <c r="Z429" s="22"/>
      <c r="AA429" s="22"/>
      <c r="AB429" s="22"/>
      <c r="AC429" s="41"/>
      <c r="AD429" s="22"/>
    </row>
    <row r="430" spans="18:30" x14ac:dyDescent="0.25">
      <c r="R430" s="22"/>
      <c r="S430" s="22"/>
      <c r="T430" s="331"/>
      <c r="U430" s="22"/>
      <c r="V430" s="22"/>
      <c r="W430" s="22"/>
      <c r="X430" s="22"/>
      <c r="Y430" s="22"/>
      <c r="Z430" s="22"/>
      <c r="AA430" s="22"/>
      <c r="AB430" s="22"/>
      <c r="AC430" s="41"/>
      <c r="AD430" s="22"/>
    </row>
    <row r="431" spans="18:30" x14ac:dyDescent="0.25">
      <c r="R431" s="22"/>
      <c r="S431" s="22"/>
      <c r="T431" s="331"/>
      <c r="U431" s="22"/>
      <c r="V431" s="22"/>
      <c r="W431" s="22"/>
      <c r="X431" s="22"/>
      <c r="Y431" s="22"/>
      <c r="Z431" s="22"/>
      <c r="AA431" s="22"/>
      <c r="AB431" s="22"/>
      <c r="AC431" s="41"/>
      <c r="AD431" s="22"/>
    </row>
    <row r="432" spans="18:30" x14ac:dyDescent="0.25">
      <c r="R432" s="22"/>
      <c r="S432" s="22"/>
      <c r="T432" s="331"/>
      <c r="U432" s="22"/>
      <c r="V432" s="22"/>
      <c r="W432" s="22"/>
      <c r="X432" s="22"/>
      <c r="Y432" s="22"/>
      <c r="Z432" s="22"/>
      <c r="AA432" s="22"/>
      <c r="AB432" s="22"/>
      <c r="AC432" s="41"/>
      <c r="AD432" s="22"/>
    </row>
    <row r="433" spans="18:30" x14ac:dyDescent="0.25">
      <c r="R433" s="22"/>
      <c r="S433" s="22"/>
      <c r="T433" s="331"/>
      <c r="U433" s="22"/>
      <c r="V433" s="22"/>
      <c r="W433" s="22"/>
      <c r="X433" s="22"/>
      <c r="Y433" s="22"/>
      <c r="Z433" s="22"/>
      <c r="AA433" s="22"/>
      <c r="AB433" s="22"/>
      <c r="AC433" s="41"/>
      <c r="AD433" s="22"/>
    </row>
    <row r="434" spans="18:30" x14ac:dyDescent="0.25">
      <c r="R434" s="22"/>
      <c r="S434" s="22"/>
      <c r="T434" s="331"/>
      <c r="U434" s="22"/>
      <c r="V434" s="22"/>
      <c r="W434" s="22"/>
      <c r="X434" s="22"/>
      <c r="Y434" s="22"/>
      <c r="Z434" s="22"/>
      <c r="AA434" s="22"/>
      <c r="AB434" s="22"/>
      <c r="AC434" s="41"/>
      <c r="AD434" s="22"/>
    </row>
    <row r="435" spans="18:30" x14ac:dyDescent="0.25">
      <c r="R435" s="22"/>
      <c r="S435" s="22"/>
      <c r="T435" s="331"/>
      <c r="U435" s="22"/>
      <c r="V435" s="22"/>
      <c r="W435" s="22"/>
      <c r="X435" s="22"/>
      <c r="Y435" s="22"/>
      <c r="Z435" s="22"/>
      <c r="AA435" s="22"/>
      <c r="AB435" s="22"/>
      <c r="AC435" s="41"/>
      <c r="AD435" s="22"/>
    </row>
    <row r="436" spans="18:30" x14ac:dyDescent="0.25">
      <c r="R436" s="22"/>
      <c r="S436" s="22"/>
      <c r="T436" s="331"/>
      <c r="U436" s="22"/>
      <c r="V436" s="22"/>
      <c r="W436" s="22"/>
      <c r="X436" s="22"/>
      <c r="Y436" s="22"/>
      <c r="Z436" s="22"/>
      <c r="AA436" s="22"/>
      <c r="AB436" s="22"/>
      <c r="AC436" s="41"/>
      <c r="AD436" s="22"/>
    </row>
    <row r="437" spans="18:30" x14ac:dyDescent="0.25">
      <c r="R437" s="22"/>
      <c r="S437" s="22"/>
      <c r="T437" s="331"/>
      <c r="U437" s="22"/>
      <c r="V437" s="22"/>
      <c r="W437" s="22"/>
      <c r="X437" s="22"/>
      <c r="Y437" s="22"/>
      <c r="Z437" s="22"/>
      <c r="AA437" s="22"/>
      <c r="AB437" s="22"/>
      <c r="AC437" s="41"/>
      <c r="AD437" s="22"/>
    </row>
    <row r="438" spans="18:30" x14ac:dyDescent="0.25">
      <c r="R438" s="22"/>
      <c r="S438" s="22"/>
      <c r="T438" s="331"/>
      <c r="U438" s="22"/>
      <c r="V438" s="22"/>
      <c r="W438" s="22"/>
      <c r="X438" s="22"/>
      <c r="Y438" s="22"/>
      <c r="Z438" s="22"/>
      <c r="AA438" s="22"/>
      <c r="AB438" s="22"/>
      <c r="AC438" s="41"/>
      <c r="AD438" s="22"/>
    </row>
    <row r="439" spans="18:30" x14ac:dyDescent="0.25">
      <c r="R439" s="22"/>
      <c r="S439" s="22"/>
      <c r="T439" s="331"/>
      <c r="U439" s="22"/>
      <c r="V439" s="22"/>
      <c r="W439" s="22"/>
      <c r="X439" s="22"/>
      <c r="Y439" s="22"/>
      <c r="Z439" s="22"/>
      <c r="AA439" s="22"/>
      <c r="AB439" s="22"/>
      <c r="AC439" s="41"/>
      <c r="AD439" s="22"/>
    </row>
    <row r="440" spans="18:30" x14ac:dyDescent="0.25">
      <c r="R440" s="22"/>
      <c r="S440" s="22"/>
      <c r="T440" s="331"/>
      <c r="U440" s="22"/>
      <c r="V440" s="22"/>
      <c r="W440" s="22"/>
      <c r="X440" s="22"/>
      <c r="Y440" s="22"/>
      <c r="Z440" s="22"/>
      <c r="AA440" s="22"/>
      <c r="AB440" s="22"/>
      <c r="AC440" s="41"/>
      <c r="AD440" s="22"/>
    </row>
    <row r="441" spans="18:30" x14ac:dyDescent="0.25">
      <c r="R441" s="22"/>
      <c r="S441" s="22"/>
      <c r="T441" s="331"/>
      <c r="U441" s="22"/>
      <c r="V441" s="22"/>
      <c r="W441" s="22"/>
      <c r="X441" s="22"/>
      <c r="Y441" s="22"/>
      <c r="Z441" s="22"/>
      <c r="AA441" s="22"/>
      <c r="AB441" s="22"/>
      <c r="AC441" s="41"/>
      <c r="AD441" s="22"/>
    </row>
    <row r="442" spans="18:30" x14ac:dyDescent="0.25">
      <c r="R442" s="22"/>
      <c r="S442" s="22"/>
      <c r="T442" s="331"/>
      <c r="U442" s="22"/>
      <c r="V442" s="22"/>
      <c r="W442" s="22"/>
      <c r="X442" s="22"/>
      <c r="Y442" s="22"/>
      <c r="Z442" s="22"/>
      <c r="AA442" s="22"/>
      <c r="AB442" s="22"/>
      <c r="AC442" s="41"/>
      <c r="AD442" s="22"/>
    </row>
    <row r="443" spans="18:30" x14ac:dyDescent="0.25">
      <c r="R443" s="22"/>
      <c r="S443" s="22"/>
      <c r="T443" s="331"/>
      <c r="U443" s="22"/>
      <c r="V443" s="22"/>
      <c r="W443" s="22"/>
      <c r="X443" s="22"/>
      <c r="Y443" s="22"/>
      <c r="Z443" s="22"/>
      <c r="AA443" s="22"/>
      <c r="AB443" s="22"/>
      <c r="AC443" s="41"/>
      <c r="AD443" s="22"/>
    </row>
    <row r="444" spans="18:30" x14ac:dyDescent="0.25">
      <c r="R444" s="22"/>
      <c r="S444" s="22"/>
      <c r="T444" s="331"/>
      <c r="U444" s="22"/>
      <c r="V444" s="22"/>
      <c r="W444" s="22"/>
      <c r="X444" s="22"/>
      <c r="Y444" s="22"/>
      <c r="Z444" s="22"/>
      <c r="AA444" s="22"/>
      <c r="AB444" s="22"/>
      <c r="AC444" s="41"/>
      <c r="AD444" s="22"/>
    </row>
    <row r="445" spans="18:30" x14ac:dyDescent="0.25">
      <c r="R445" s="22"/>
      <c r="S445" s="22"/>
      <c r="T445" s="331"/>
      <c r="U445" s="22"/>
      <c r="V445" s="22"/>
      <c r="W445" s="22"/>
      <c r="X445" s="22"/>
      <c r="Y445" s="22"/>
      <c r="Z445" s="22"/>
      <c r="AA445" s="22"/>
      <c r="AB445" s="22"/>
      <c r="AC445" s="41"/>
      <c r="AD445" s="22"/>
    </row>
    <row r="446" spans="18:30" x14ac:dyDescent="0.25">
      <c r="R446" s="22"/>
      <c r="S446" s="22"/>
      <c r="T446" s="331"/>
      <c r="U446" s="22"/>
      <c r="V446" s="22"/>
      <c r="W446" s="22"/>
      <c r="X446" s="22"/>
      <c r="Y446" s="22"/>
      <c r="Z446" s="22"/>
      <c r="AA446" s="22"/>
      <c r="AB446" s="22"/>
      <c r="AC446" s="41"/>
      <c r="AD446" s="22"/>
    </row>
    <row r="447" spans="18:30" x14ac:dyDescent="0.25">
      <c r="R447" s="22"/>
      <c r="S447" s="22"/>
      <c r="T447" s="331"/>
      <c r="U447" s="22"/>
      <c r="V447" s="22"/>
      <c r="W447" s="22"/>
      <c r="X447" s="22"/>
      <c r="Y447" s="22"/>
      <c r="Z447" s="22"/>
      <c r="AA447" s="22"/>
      <c r="AB447" s="22"/>
      <c r="AC447" s="41"/>
      <c r="AD447" s="22"/>
    </row>
    <row r="448" spans="18:30" x14ac:dyDescent="0.25">
      <c r="R448" s="22"/>
      <c r="S448" s="22"/>
      <c r="T448" s="331"/>
      <c r="U448" s="22"/>
      <c r="V448" s="22"/>
      <c r="W448" s="22"/>
      <c r="X448" s="22"/>
      <c r="Y448" s="22"/>
      <c r="Z448" s="22"/>
      <c r="AA448" s="22"/>
      <c r="AB448" s="22"/>
      <c r="AC448" s="41"/>
      <c r="AD448" s="22"/>
    </row>
    <row r="449" spans="18:30" x14ac:dyDescent="0.25">
      <c r="R449" s="22"/>
      <c r="S449" s="22"/>
      <c r="T449" s="331"/>
      <c r="U449" s="22"/>
      <c r="V449" s="22"/>
      <c r="W449" s="22"/>
      <c r="X449" s="22"/>
      <c r="Y449" s="22"/>
      <c r="Z449" s="22"/>
      <c r="AA449" s="22"/>
      <c r="AB449" s="22"/>
      <c r="AC449" s="41"/>
      <c r="AD449" s="22"/>
    </row>
    <row r="450" spans="18:30" x14ac:dyDescent="0.25">
      <c r="R450" s="22"/>
      <c r="S450" s="22"/>
      <c r="T450" s="331"/>
      <c r="U450" s="22"/>
      <c r="V450" s="22"/>
      <c r="W450" s="22"/>
      <c r="X450" s="22"/>
      <c r="Y450" s="22"/>
      <c r="Z450" s="22"/>
      <c r="AA450" s="22"/>
      <c r="AB450" s="22"/>
      <c r="AC450" s="41"/>
      <c r="AD450" s="22"/>
    </row>
    <row r="451" spans="18:30" x14ac:dyDescent="0.25">
      <c r="R451" s="22"/>
      <c r="S451" s="22"/>
      <c r="T451" s="331"/>
      <c r="U451" s="22"/>
      <c r="V451" s="22"/>
      <c r="W451" s="22"/>
      <c r="X451" s="22"/>
      <c r="Y451" s="22"/>
      <c r="Z451" s="22"/>
      <c r="AA451" s="22"/>
      <c r="AB451" s="22"/>
      <c r="AC451" s="41"/>
      <c r="AD451" s="22"/>
    </row>
    <row r="452" spans="18:30" x14ac:dyDescent="0.25">
      <c r="R452" s="22"/>
      <c r="S452" s="22"/>
      <c r="T452" s="331"/>
      <c r="U452" s="22"/>
      <c r="V452" s="22"/>
      <c r="W452" s="22"/>
      <c r="X452" s="22"/>
      <c r="Y452" s="22"/>
      <c r="Z452" s="22"/>
      <c r="AA452" s="22"/>
      <c r="AB452" s="22"/>
      <c r="AC452" s="41"/>
      <c r="AD452" s="22"/>
    </row>
    <row r="453" spans="18:30" x14ac:dyDescent="0.25">
      <c r="R453" s="22"/>
      <c r="S453" s="22"/>
      <c r="T453" s="331"/>
      <c r="U453" s="22"/>
      <c r="V453" s="22"/>
      <c r="W453" s="22"/>
      <c r="X453" s="22"/>
      <c r="Y453" s="22"/>
      <c r="Z453" s="22"/>
      <c r="AA453" s="22"/>
      <c r="AB453" s="22"/>
      <c r="AC453" s="41"/>
      <c r="AD453" s="22"/>
    </row>
    <row r="454" spans="18:30" x14ac:dyDescent="0.25">
      <c r="R454" s="22"/>
      <c r="S454" s="22"/>
      <c r="T454" s="331"/>
      <c r="U454" s="22"/>
      <c r="V454" s="22"/>
      <c r="W454" s="22"/>
      <c r="X454" s="22"/>
      <c r="Y454" s="22"/>
      <c r="Z454" s="22"/>
      <c r="AA454" s="22"/>
      <c r="AB454" s="22"/>
      <c r="AC454" s="41"/>
      <c r="AD454" s="22"/>
    </row>
    <row r="455" spans="18:30" x14ac:dyDescent="0.25">
      <c r="R455" s="22"/>
      <c r="S455" s="22"/>
      <c r="T455" s="331"/>
      <c r="U455" s="22"/>
      <c r="V455" s="22"/>
      <c r="W455" s="22"/>
      <c r="X455" s="22"/>
      <c r="Y455" s="22"/>
      <c r="Z455" s="22"/>
      <c r="AA455" s="22"/>
      <c r="AB455" s="22"/>
      <c r="AC455" s="41"/>
      <c r="AD455" s="22"/>
    </row>
    <row r="456" spans="18:30" x14ac:dyDescent="0.25">
      <c r="R456" s="22"/>
      <c r="S456" s="22"/>
      <c r="T456" s="331"/>
      <c r="U456" s="22"/>
      <c r="V456" s="22"/>
      <c r="W456" s="22"/>
      <c r="X456" s="22"/>
      <c r="Y456" s="22"/>
      <c r="Z456" s="22"/>
      <c r="AA456" s="22"/>
      <c r="AB456" s="22"/>
      <c r="AC456" s="41"/>
      <c r="AD456" s="22"/>
    </row>
    <row r="457" spans="18:30" x14ac:dyDescent="0.25">
      <c r="R457" s="22"/>
      <c r="S457" s="22"/>
      <c r="T457" s="331"/>
      <c r="U457" s="22"/>
      <c r="V457" s="22"/>
      <c r="W457" s="22"/>
      <c r="X457" s="22"/>
      <c r="Y457" s="22"/>
      <c r="Z457" s="22"/>
      <c r="AA457" s="22"/>
      <c r="AB457" s="22"/>
      <c r="AC457" s="41"/>
      <c r="AD457" s="22"/>
    </row>
    <row r="458" spans="18:30" x14ac:dyDescent="0.25">
      <c r="R458" s="22"/>
      <c r="S458" s="22"/>
      <c r="T458" s="331"/>
      <c r="U458" s="22"/>
      <c r="V458" s="22"/>
      <c r="W458" s="22"/>
      <c r="X458" s="22"/>
      <c r="Y458" s="22"/>
      <c r="Z458" s="22"/>
      <c r="AA458" s="22"/>
      <c r="AB458" s="22"/>
      <c r="AC458" s="41"/>
      <c r="AD458" s="22"/>
    </row>
    <row r="459" spans="18:30" x14ac:dyDescent="0.25">
      <c r="R459" s="22"/>
      <c r="S459" s="22"/>
      <c r="T459" s="331"/>
      <c r="U459" s="22"/>
      <c r="V459" s="22"/>
      <c r="W459" s="22"/>
      <c r="X459" s="22"/>
      <c r="Y459" s="22"/>
      <c r="Z459" s="22"/>
      <c r="AA459" s="22"/>
      <c r="AB459" s="22"/>
      <c r="AC459" s="41"/>
      <c r="AD459" s="22"/>
    </row>
    <row r="460" spans="18:30" x14ac:dyDescent="0.25">
      <c r="R460" s="22"/>
      <c r="S460" s="22"/>
      <c r="T460" s="331"/>
      <c r="U460" s="22"/>
      <c r="V460" s="22"/>
      <c r="W460" s="22"/>
      <c r="X460" s="22"/>
      <c r="Y460" s="22"/>
      <c r="Z460" s="22"/>
      <c r="AA460" s="22"/>
      <c r="AB460" s="22"/>
      <c r="AC460" s="41"/>
      <c r="AD460" s="22"/>
    </row>
    <row r="461" spans="18:30" x14ac:dyDescent="0.25">
      <c r="R461" s="22"/>
      <c r="S461" s="22"/>
      <c r="T461" s="331"/>
      <c r="U461" s="22"/>
      <c r="V461" s="22"/>
      <c r="W461" s="22"/>
      <c r="X461" s="22"/>
      <c r="Y461" s="22"/>
      <c r="Z461" s="22"/>
      <c r="AA461" s="22"/>
      <c r="AB461" s="22"/>
      <c r="AC461" s="41"/>
      <c r="AD461" s="22"/>
    </row>
    <row r="462" spans="18:30" x14ac:dyDescent="0.25">
      <c r="R462" s="22"/>
      <c r="S462" s="22"/>
      <c r="T462" s="331"/>
      <c r="U462" s="22"/>
      <c r="V462" s="22"/>
      <c r="W462" s="22"/>
      <c r="X462" s="22"/>
      <c r="Y462" s="22"/>
      <c r="Z462" s="22"/>
      <c r="AA462" s="22"/>
      <c r="AB462" s="22"/>
      <c r="AC462" s="41"/>
      <c r="AD462" s="22"/>
    </row>
    <row r="463" spans="18:30" x14ac:dyDescent="0.25">
      <c r="R463" s="22"/>
      <c r="S463" s="22"/>
      <c r="T463" s="331"/>
      <c r="U463" s="22"/>
      <c r="V463" s="22"/>
      <c r="W463" s="22"/>
      <c r="X463" s="22"/>
      <c r="Y463" s="22"/>
      <c r="Z463" s="22"/>
      <c r="AA463" s="22"/>
      <c r="AB463" s="22"/>
      <c r="AC463" s="41"/>
      <c r="AD463" s="22"/>
    </row>
    <row r="464" spans="18:30" x14ac:dyDescent="0.25">
      <c r="R464" s="22"/>
      <c r="S464" s="22"/>
      <c r="T464" s="331"/>
      <c r="U464" s="22"/>
      <c r="V464" s="22"/>
      <c r="W464" s="22"/>
      <c r="X464" s="22"/>
      <c r="Y464" s="22"/>
      <c r="Z464" s="22"/>
      <c r="AA464" s="22"/>
      <c r="AB464" s="22"/>
      <c r="AC464" s="41"/>
      <c r="AD464" s="22"/>
    </row>
    <row r="465" spans="18:30" x14ac:dyDescent="0.25">
      <c r="R465" s="22"/>
      <c r="S465" s="22"/>
      <c r="T465" s="331"/>
      <c r="U465" s="22"/>
      <c r="V465" s="22"/>
      <c r="W465" s="22"/>
      <c r="X465" s="22"/>
      <c r="Y465" s="22"/>
      <c r="Z465" s="22"/>
      <c r="AA465" s="22"/>
      <c r="AB465" s="22"/>
      <c r="AC465" s="41"/>
      <c r="AD465" s="22"/>
    </row>
    <row r="466" spans="18:30" x14ac:dyDescent="0.25">
      <c r="R466" s="22"/>
      <c r="S466" s="22"/>
      <c r="T466" s="331"/>
      <c r="U466" s="22"/>
      <c r="V466" s="22"/>
      <c r="W466" s="22"/>
      <c r="X466" s="22"/>
      <c r="Y466" s="22"/>
      <c r="Z466" s="22"/>
      <c r="AA466" s="22"/>
      <c r="AB466" s="22"/>
      <c r="AC466" s="41"/>
      <c r="AD466" s="22"/>
    </row>
    <row r="467" spans="18:30" x14ac:dyDescent="0.25">
      <c r="R467" s="22"/>
      <c r="S467" s="22"/>
      <c r="T467" s="331"/>
      <c r="U467" s="22"/>
      <c r="V467" s="22"/>
      <c r="W467" s="22"/>
      <c r="X467" s="22"/>
      <c r="Y467" s="22"/>
      <c r="Z467" s="22"/>
      <c r="AA467" s="22"/>
      <c r="AB467" s="22"/>
      <c r="AC467" s="41"/>
      <c r="AD467" s="22"/>
    </row>
    <row r="468" spans="18:30" x14ac:dyDescent="0.25">
      <c r="R468" s="22"/>
      <c r="S468" s="22"/>
      <c r="T468" s="331"/>
      <c r="U468" s="22"/>
      <c r="V468" s="22"/>
      <c r="W468" s="22"/>
      <c r="X468" s="22"/>
      <c r="Y468" s="22"/>
      <c r="Z468" s="22"/>
      <c r="AA468" s="22"/>
      <c r="AB468" s="22"/>
      <c r="AC468" s="41"/>
      <c r="AD468" s="22"/>
    </row>
    <row r="469" spans="18:30" x14ac:dyDescent="0.25">
      <c r="R469" s="22"/>
      <c r="S469" s="22"/>
      <c r="T469" s="331"/>
      <c r="U469" s="22"/>
      <c r="V469" s="22"/>
      <c r="W469" s="22"/>
      <c r="X469" s="22"/>
      <c r="Y469" s="22"/>
      <c r="Z469" s="22"/>
      <c r="AA469" s="22"/>
      <c r="AB469" s="22"/>
      <c r="AC469" s="41"/>
      <c r="AD469" s="22"/>
    </row>
    <row r="470" spans="18:30" x14ac:dyDescent="0.25">
      <c r="R470" s="22"/>
      <c r="S470" s="22"/>
      <c r="T470" s="331"/>
      <c r="U470" s="22"/>
      <c r="V470" s="22"/>
      <c r="W470" s="22"/>
      <c r="X470" s="22"/>
      <c r="Y470" s="22"/>
      <c r="Z470" s="22"/>
      <c r="AA470" s="22"/>
      <c r="AB470" s="22"/>
      <c r="AC470" s="41"/>
      <c r="AD470" s="22"/>
    </row>
    <row r="471" spans="18:30" x14ac:dyDescent="0.25">
      <c r="R471" s="22"/>
      <c r="S471" s="22"/>
      <c r="T471" s="331"/>
      <c r="U471" s="22"/>
      <c r="V471" s="22"/>
      <c r="W471" s="22"/>
      <c r="X471" s="22"/>
      <c r="Y471" s="22"/>
      <c r="Z471" s="22"/>
      <c r="AA471" s="22"/>
      <c r="AB471" s="22"/>
      <c r="AC471" s="41"/>
      <c r="AD471" s="22"/>
    </row>
    <row r="472" spans="18:30" x14ac:dyDescent="0.25">
      <c r="R472" s="22"/>
      <c r="S472" s="22"/>
      <c r="T472" s="331"/>
      <c r="U472" s="22"/>
      <c r="V472" s="22"/>
      <c r="W472" s="22"/>
      <c r="X472" s="22"/>
      <c r="Y472" s="22"/>
      <c r="Z472" s="22"/>
      <c r="AA472" s="22"/>
      <c r="AB472" s="22"/>
      <c r="AC472" s="41"/>
      <c r="AD472" s="22"/>
    </row>
    <row r="473" spans="18:30" x14ac:dyDescent="0.25">
      <c r="R473" s="22"/>
      <c r="S473" s="22"/>
      <c r="T473" s="331"/>
      <c r="U473" s="22"/>
      <c r="V473" s="22"/>
      <c r="W473" s="22"/>
      <c r="X473" s="22"/>
      <c r="Y473" s="22"/>
      <c r="Z473" s="22"/>
      <c r="AA473" s="22"/>
      <c r="AB473" s="22"/>
      <c r="AC473" s="41"/>
      <c r="AD473" s="22"/>
    </row>
    <row r="474" spans="18:30" x14ac:dyDescent="0.25">
      <c r="R474" s="22"/>
      <c r="S474" s="22"/>
      <c r="T474" s="331"/>
      <c r="U474" s="22"/>
      <c r="V474" s="22"/>
      <c r="W474" s="22"/>
      <c r="X474" s="22"/>
      <c r="Y474" s="22"/>
      <c r="Z474" s="22"/>
      <c r="AA474" s="22"/>
      <c r="AB474" s="22"/>
      <c r="AC474" s="41"/>
      <c r="AD474" s="22"/>
    </row>
    <row r="475" spans="18:30" x14ac:dyDescent="0.25">
      <c r="R475" s="22"/>
      <c r="S475" s="22"/>
      <c r="T475" s="331"/>
      <c r="U475" s="22"/>
      <c r="V475" s="22"/>
      <c r="W475" s="22"/>
      <c r="X475" s="22"/>
      <c r="Y475" s="22"/>
      <c r="Z475" s="22"/>
      <c r="AA475" s="22"/>
      <c r="AB475" s="22"/>
      <c r="AC475" s="41"/>
      <c r="AD475" s="22"/>
    </row>
    <row r="476" spans="18:30" x14ac:dyDescent="0.25">
      <c r="R476" s="22"/>
      <c r="S476" s="22"/>
      <c r="T476" s="331"/>
      <c r="U476" s="22"/>
      <c r="V476" s="22"/>
      <c r="W476" s="22"/>
      <c r="X476" s="22"/>
      <c r="Y476" s="22"/>
      <c r="Z476" s="22"/>
      <c r="AA476" s="22"/>
      <c r="AB476" s="22"/>
      <c r="AC476" s="41"/>
      <c r="AD476" s="22"/>
    </row>
    <row r="477" spans="18:30" x14ac:dyDescent="0.25">
      <c r="R477" s="22"/>
      <c r="S477" s="22"/>
      <c r="T477" s="331"/>
      <c r="U477" s="22"/>
      <c r="V477" s="22"/>
      <c r="W477" s="22"/>
      <c r="X477" s="22"/>
      <c r="Y477" s="22"/>
      <c r="Z477" s="22"/>
      <c r="AA477" s="22"/>
      <c r="AB477" s="22"/>
      <c r="AC477" s="41"/>
      <c r="AD477" s="22"/>
    </row>
    <row r="478" spans="18:30" x14ac:dyDescent="0.25">
      <c r="R478" s="22"/>
      <c r="S478" s="22"/>
      <c r="T478" s="331"/>
      <c r="U478" s="22"/>
      <c r="V478" s="22"/>
      <c r="W478" s="22"/>
      <c r="X478" s="22"/>
      <c r="Y478" s="22"/>
      <c r="Z478" s="22"/>
      <c r="AA478" s="22"/>
      <c r="AB478" s="22"/>
      <c r="AC478" s="41"/>
      <c r="AD478" s="22"/>
    </row>
    <row r="479" spans="18:30" x14ac:dyDescent="0.25">
      <c r="R479" s="22"/>
      <c r="S479" s="22"/>
      <c r="T479" s="331"/>
      <c r="U479" s="22"/>
      <c r="V479" s="22"/>
      <c r="W479" s="22"/>
      <c r="X479" s="22"/>
      <c r="Y479" s="22"/>
      <c r="Z479" s="22"/>
      <c r="AA479" s="22"/>
      <c r="AB479" s="22"/>
      <c r="AC479" s="41"/>
      <c r="AD479" s="22"/>
    </row>
    <row r="480" spans="18:30" x14ac:dyDescent="0.25">
      <c r="R480" s="22"/>
      <c r="S480" s="22"/>
      <c r="T480" s="331"/>
      <c r="U480" s="22"/>
      <c r="V480" s="22"/>
      <c r="W480" s="22"/>
      <c r="X480" s="22"/>
      <c r="Y480" s="22"/>
      <c r="Z480" s="22"/>
      <c r="AA480" s="22"/>
      <c r="AB480" s="22"/>
      <c r="AC480" s="41"/>
      <c r="AD480" s="22"/>
    </row>
    <row r="481" spans="18:30" x14ac:dyDescent="0.25">
      <c r="R481" s="22"/>
      <c r="S481" s="22"/>
      <c r="T481" s="331"/>
      <c r="U481" s="22"/>
      <c r="V481" s="22"/>
      <c r="W481" s="22"/>
      <c r="X481" s="22"/>
      <c r="Y481" s="22"/>
      <c r="Z481" s="22"/>
      <c r="AA481" s="22"/>
      <c r="AB481" s="22"/>
      <c r="AC481" s="41"/>
      <c r="AD481" s="22"/>
    </row>
    <row r="482" spans="18:30" x14ac:dyDescent="0.25">
      <c r="R482" s="22"/>
      <c r="S482" s="22"/>
      <c r="T482" s="331"/>
      <c r="U482" s="22"/>
      <c r="V482" s="22"/>
      <c r="W482" s="22"/>
      <c r="X482" s="22"/>
      <c r="Y482" s="22"/>
      <c r="Z482" s="22"/>
      <c r="AA482" s="22"/>
      <c r="AB482" s="22"/>
      <c r="AC482" s="41"/>
      <c r="AD482" s="22"/>
    </row>
    <row r="483" spans="18:30" x14ac:dyDescent="0.25">
      <c r="R483" s="22"/>
      <c r="S483" s="22"/>
      <c r="T483" s="331"/>
      <c r="U483" s="22"/>
      <c r="V483" s="22"/>
      <c r="W483" s="22"/>
      <c r="X483" s="22"/>
      <c r="Y483" s="22"/>
      <c r="Z483" s="22"/>
      <c r="AA483" s="22"/>
      <c r="AB483" s="22"/>
      <c r="AC483" s="41"/>
      <c r="AD483" s="22"/>
    </row>
    <row r="484" spans="18:30" x14ac:dyDescent="0.25">
      <c r="R484" s="22"/>
      <c r="S484" s="22"/>
      <c r="T484" s="331"/>
      <c r="U484" s="22"/>
      <c r="V484" s="22"/>
      <c r="W484" s="22"/>
      <c r="X484" s="22"/>
      <c r="Y484" s="22"/>
      <c r="Z484" s="22"/>
      <c r="AA484" s="22"/>
      <c r="AB484" s="22"/>
      <c r="AC484" s="41"/>
      <c r="AD484" s="22"/>
    </row>
    <row r="485" spans="18:30" x14ac:dyDescent="0.25">
      <c r="R485" s="22"/>
      <c r="S485" s="22"/>
      <c r="T485" s="331"/>
      <c r="U485" s="22"/>
      <c r="V485" s="22"/>
      <c r="W485" s="22"/>
      <c r="X485" s="22"/>
      <c r="Y485" s="22"/>
      <c r="Z485" s="22"/>
      <c r="AA485" s="22"/>
      <c r="AB485" s="22"/>
      <c r="AC485" s="41"/>
      <c r="AD485" s="22"/>
    </row>
    <row r="486" spans="18:30" x14ac:dyDescent="0.25">
      <c r="R486" s="22"/>
      <c r="S486" s="22"/>
      <c r="T486" s="331"/>
      <c r="U486" s="22"/>
      <c r="V486" s="22"/>
      <c r="W486" s="22"/>
      <c r="X486" s="22"/>
      <c r="Y486" s="22"/>
      <c r="Z486" s="22"/>
      <c r="AA486" s="22"/>
      <c r="AB486" s="22"/>
      <c r="AC486" s="41"/>
      <c r="AD486" s="22"/>
    </row>
    <row r="487" spans="18:30" x14ac:dyDescent="0.25">
      <c r="R487" s="22"/>
      <c r="S487" s="22"/>
      <c r="T487" s="331"/>
      <c r="U487" s="22"/>
      <c r="V487" s="22"/>
      <c r="W487" s="22"/>
      <c r="X487" s="22"/>
      <c r="Y487" s="22"/>
      <c r="Z487" s="22"/>
      <c r="AA487" s="22"/>
      <c r="AB487" s="22"/>
      <c r="AC487" s="41"/>
      <c r="AD487" s="22"/>
    </row>
    <row r="488" spans="18:30" x14ac:dyDescent="0.25">
      <c r="R488" s="22"/>
      <c r="S488" s="22"/>
      <c r="T488" s="331"/>
      <c r="U488" s="22"/>
      <c r="V488" s="22"/>
      <c r="W488" s="22"/>
      <c r="X488" s="22"/>
      <c r="Y488" s="22"/>
      <c r="Z488" s="22"/>
      <c r="AA488" s="22"/>
      <c r="AB488" s="22"/>
      <c r="AC488" s="41"/>
      <c r="AD488" s="22"/>
    </row>
    <row r="489" spans="18:30" x14ac:dyDescent="0.25">
      <c r="R489" s="22"/>
      <c r="S489" s="22"/>
      <c r="T489" s="331"/>
      <c r="U489" s="22"/>
      <c r="V489" s="22"/>
      <c r="W489" s="22"/>
      <c r="X489" s="22"/>
      <c r="Y489" s="22"/>
      <c r="Z489" s="22"/>
      <c r="AA489" s="22"/>
      <c r="AB489" s="22"/>
      <c r="AC489" s="41"/>
      <c r="AD489" s="22"/>
    </row>
    <row r="490" spans="18:30" x14ac:dyDescent="0.25">
      <c r="R490" s="22"/>
      <c r="S490" s="22"/>
      <c r="T490" s="331"/>
      <c r="U490" s="22"/>
      <c r="V490" s="22"/>
      <c r="W490" s="22"/>
      <c r="X490" s="22"/>
      <c r="Y490" s="22"/>
      <c r="Z490" s="22"/>
      <c r="AA490" s="22"/>
      <c r="AB490" s="22"/>
      <c r="AC490" s="41"/>
      <c r="AD490" s="22"/>
    </row>
    <row r="491" spans="18:30" x14ac:dyDescent="0.25">
      <c r="R491" s="22"/>
      <c r="S491" s="22"/>
      <c r="T491" s="331"/>
      <c r="U491" s="22"/>
      <c r="V491" s="22"/>
      <c r="W491" s="22"/>
      <c r="X491" s="22"/>
      <c r="Y491" s="22"/>
      <c r="Z491" s="22"/>
      <c r="AA491" s="22"/>
      <c r="AB491" s="22"/>
      <c r="AC491" s="41"/>
      <c r="AD491" s="22"/>
    </row>
    <row r="492" spans="18:30" x14ac:dyDescent="0.25">
      <c r="R492" s="22"/>
      <c r="S492" s="22"/>
      <c r="T492" s="331"/>
      <c r="U492" s="22"/>
      <c r="V492" s="22"/>
      <c r="W492" s="22"/>
      <c r="X492" s="22"/>
      <c r="Y492" s="22"/>
      <c r="Z492" s="22"/>
      <c r="AA492" s="22"/>
      <c r="AB492" s="22"/>
      <c r="AC492" s="41"/>
      <c r="AD492" s="22"/>
    </row>
    <row r="493" spans="18:30" x14ac:dyDescent="0.25">
      <c r="R493" s="22"/>
      <c r="S493" s="22"/>
      <c r="T493" s="331"/>
      <c r="U493" s="22"/>
      <c r="V493" s="22"/>
      <c r="W493" s="22"/>
      <c r="X493" s="22"/>
      <c r="Y493" s="22"/>
      <c r="Z493" s="22"/>
      <c r="AA493" s="22"/>
      <c r="AB493" s="22"/>
      <c r="AC493" s="41"/>
      <c r="AD493" s="22"/>
    </row>
    <row r="494" spans="18:30" x14ac:dyDescent="0.25">
      <c r="R494" s="22"/>
      <c r="S494" s="22"/>
      <c r="T494" s="331"/>
      <c r="U494" s="22"/>
      <c r="V494" s="22"/>
      <c r="W494" s="22"/>
      <c r="X494" s="22"/>
      <c r="Y494" s="22"/>
      <c r="Z494" s="22"/>
      <c r="AA494" s="22"/>
      <c r="AB494" s="22"/>
      <c r="AC494" s="41"/>
      <c r="AD494" s="22"/>
    </row>
    <row r="495" spans="18:30" x14ac:dyDescent="0.25">
      <c r="R495" s="22"/>
      <c r="S495" s="22"/>
      <c r="T495" s="331"/>
      <c r="U495" s="22"/>
      <c r="V495" s="22"/>
      <c r="W495" s="22"/>
      <c r="X495" s="22"/>
      <c r="Y495" s="22"/>
      <c r="Z495" s="22"/>
      <c r="AA495" s="22"/>
      <c r="AB495" s="22"/>
      <c r="AC495" s="41"/>
      <c r="AD495" s="22"/>
    </row>
    <row r="496" spans="18:30" x14ac:dyDescent="0.25">
      <c r="R496" s="22"/>
      <c r="S496" s="22"/>
      <c r="T496" s="331"/>
      <c r="U496" s="22"/>
      <c r="V496" s="22"/>
      <c r="W496" s="22"/>
      <c r="X496" s="22"/>
      <c r="Y496" s="22"/>
      <c r="Z496" s="22"/>
      <c r="AA496" s="22"/>
      <c r="AB496" s="22"/>
      <c r="AC496" s="41"/>
      <c r="AD496" s="22"/>
    </row>
    <row r="497" spans="18:30" x14ac:dyDescent="0.25">
      <c r="R497" s="22"/>
      <c r="S497" s="22"/>
      <c r="T497" s="331"/>
      <c r="U497" s="22"/>
      <c r="V497" s="22"/>
      <c r="W497" s="22"/>
      <c r="X497" s="22"/>
      <c r="Y497" s="22"/>
      <c r="Z497" s="22"/>
      <c r="AA497" s="22"/>
      <c r="AB497" s="22"/>
      <c r="AC497" s="41"/>
      <c r="AD497" s="22"/>
    </row>
    <row r="498" spans="18:30" x14ac:dyDescent="0.25">
      <c r="R498" s="22"/>
      <c r="S498" s="22"/>
      <c r="T498" s="331"/>
      <c r="U498" s="22"/>
      <c r="V498" s="22"/>
      <c r="W498" s="22"/>
      <c r="X498" s="22"/>
      <c r="Y498" s="22"/>
      <c r="Z498" s="22"/>
      <c r="AA498" s="22"/>
      <c r="AB498" s="22"/>
      <c r="AC498" s="41"/>
      <c r="AD498" s="22"/>
    </row>
    <row r="499" spans="18:30" x14ac:dyDescent="0.25">
      <c r="R499" s="22"/>
      <c r="S499" s="22"/>
      <c r="T499" s="331"/>
      <c r="U499" s="22"/>
      <c r="V499" s="22"/>
      <c r="W499" s="22"/>
      <c r="X499" s="22"/>
      <c r="Y499" s="22"/>
      <c r="Z499" s="22"/>
      <c r="AA499" s="22"/>
      <c r="AB499" s="22"/>
      <c r="AC499" s="41"/>
      <c r="AD499" s="22"/>
    </row>
    <row r="500" spans="18:30" x14ac:dyDescent="0.25">
      <c r="R500" s="22"/>
      <c r="S500" s="22"/>
      <c r="T500" s="331"/>
      <c r="U500" s="22"/>
      <c r="V500" s="22"/>
      <c r="W500" s="22"/>
      <c r="X500" s="22"/>
      <c r="Y500" s="22"/>
      <c r="Z500" s="22"/>
      <c r="AA500" s="22"/>
      <c r="AB500" s="22"/>
      <c r="AC500" s="41"/>
      <c r="AD500" s="22"/>
    </row>
    <row r="501" spans="18:30" x14ac:dyDescent="0.25">
      <c r="R501" s="22"/>
      <c r="S501" s="22"/>
      <c r="T501" s="331"/>
      <c r="U501" s="22"/>
      <c r="V501" s="22"/>
      <c r="W501" s="22"/>
      <c r="X501" s="22"/>
      <c r="Y501" s="22"/>
      <c r="Z501" s="22"/>
      <c r="AA501" s="22"/>
      <c r="AB501" s="22"/>
      <c r="AC501" s="41"/>
      <c r="AD501" s="22"/>
    </row>
    <row r="502" spans="18:30" x14ac:dyDescent="0.25">
      <c r="R502" s="22"/>
      <c r="S502" s="22"/>
      <c r="T502" s="331"/>
      <c r="U502" s="22"/>
      <c r="V502" s="22"/>
      <c r="W502" s="22"/>
      <c r="X502" s="22"/>
      <c r="Y502" s="22"/>
      <c r="Z502" s="22"/>
      <c r="AA502" s="22"/>
      <c r="AB502" s="22"/>
      <c r="AC502" s="41"/>
      <c r="AD502" s="22"/>
    </row>
    <row r="503" spans="18:30" x14ac:dyDescent="0.25">
      <c r="R503" s="22"/>
      <c r="S503" s="22"/>
      <c r="T503" s="331"/>
      <c r="U503" s="22"/>
      <c r="V503" s="22"/>
      <c r="W503" s="22"/>
      <c r="X503" s="22"/>
      <c r="Y503" s="22"/>
      <c r="Z503" s="22"/>
      <c r="AA503" s="22"/>
      <c r="AB503" s="22"/>
      <c r="AC503" s="41"/>
      <c r="AD503" s="22"/>
    </row>
    <row r="504" spans="18:30" x14ac:dyDescent="0.25">
      <c r="R504" s="22"/>
      <c r="S504" s="22"/>
      <c r="T504" s="331"/>
      <c r="U504" s="22"/>
      <c r="V504" s="22"/>
      <c r="W504" s="22"/>
      <c r="X504" s="22"/>
      <c r="Y504" s="22"/>
      <c r="Z504" s="22"/>
      <c r="AA504" s="22"/>
      <c r="AB504" s="22"/>
      <c r="AC504" s="41"/>
      <c r="AD504" s="22"/>
    </row>
    <row r="505" spans="18:30" x14ac:dyDescent="0.25">
      <c r="R505" s="22"/>
      <c r="S505" s="22"/>
      <c r="T505" s="331"/>
      <c r="U505" s="22"/>
      <c r="V505" s="22"/>
      <c r="W505" s="22"/>
      <c r="X505" s="22"/>
      <c r="Y505" s="22"/>
      <c r="Z505" s="22"/>
      <c r="AA505" s="22"/>
      <c r="AB505" s="22"/>
      <c r="AC505" s="41"/>
      <c r="AD505" s="22"/>
    </row>
    <row r="506" spans="18:30" x14ac:dyDescent="0.25">
      <c r="R506" s="22"/>
      <c r="S506" s="22"/>
      <c r="T506" s="331"/>
      <c r="U506" s="22"/>
      <c r="V506" s="22"/>
      <c r="W506" s="22"/>
      <c r="X506" s="22"/>
      <c r="Y506" s="22"/>
      <c r="Z506" s="22"/>
      <c r="AA506" s="22"/>
      <c r="AB506" s="22"/>
      <c r="AC506" s="41"/>
      <c r="AD506" s="22"/>
    </row>
    <row r="507" spans="18:30" x14ac:dyDescent="0.25">
      <c r="R507" s="22"/>
      <c r="S507" s="22"/>
      <c r="T507" s="331"/>
      <c r="U507" s="22"/>
      <c r="V507" s="22"/>
      <c r="W507" s="22"/>
      <c r="X507" s="22"/>
      <c r="Y507" s="22"/>
      <c r="Z507" s="22"/>
      <c r="AA507" s="22"/>
      <c r="AB507" s="22"/>
      <c r="AC507" s="41"/>
      <c r="AD507" s="22"/>
    </row>
    <row r="508" spans="18:30" x14ac:dyDescent="0.25">
      <c r="R508" s="22"/>
      <c r="S508" s="22"/>
      <c r="T508" s="331"/>
      <c r="U508" s="22"/>
      <c r="V508" s="22"/>
      <c r="W508" s="22"/>
      <c r="X508" s="22"/>
      <c r="Y508" s="22"/>
      <c r="Z508" s="22"/>
      <c r="AA508" s="22"/>
      <c r="AB508" s="22"/>
      <c r="AC508" s="41"/>
      <c r="AD508" s="22"/>
    </row>
    <row r="509" spans="18:30" x14ac:dyDescent="0.25">
      <c r="R509" s="22"/>
      <c r="S509" s="22"/>
      <c r="T509" s="331"/>
      <c r="U509" s="22"/>
      <c r="V509" s="22"/>
      <c r="W509" s="22"/>
      <c r="X509" s="22"/>
      <c r="Y509" s="22"/>
      <c r="Z509" s="22"/>
      <c r="AA509" s="22"/>
      <c r="AB509" s="22"/>
      <c r="AC509" s="41"/>
      <c r="AD509" s="22"/>
    </row>
    <row r="510" spans="18:30" x14ac:dyDescent="0.25">
      <c r="R510" s="22"/>
      <c r="S510" s="22"/>
      <c r="T510" s="331"/>
      <c r="U510" s="22"/>
      <c r="V510" s="22"/>
      <c r="W510" s="22"/>
      <c r="X510" s="22"/>
      <c r="Y510" s="22"/>
      <c r="Z510" s="22"/>
      <c r="AA510" s="22"/>
      <c r="AB510" s="22"/>
      <c r="AC510" s="41"/>
      <c r="AD510" s="22"/>
    </row>
    <row r="511" spans="18:30" x14ac:dyDescent="0.25">
      <c r="R511" s="22"/>
      <c r="S511" s="22"/>
      <c r="T511" s="331"/>
      <c r="U511" s="22"/>
      <c r="V511" s="22"/>
      <c r="W511" s="22"/>
      <c r="X511" s="22"/>
      <c r="Y511" s="22"/>
      <c r="Z511" s="22"/>
      <c r="AA511" s="22"/>
      <c r="AB511" s="22"/>
      <c r="AC511" s="41"/>
      <c r="AD511" s="22"/>
    </row>
    <row r="512" spans="18:30" x14ac:dyDescent="0.25">
      <c r="R512" s="22"/>
      <c r="S512" s="22"/>
      <c r="T512" s="331"/>
      <c r="U512" s="22"/>
      <c r="V512" s="22"/>
      <c r="W512" s="22"/>
      <c r="X512" s="22"/>
      <c r="Y512" s="22"/>
      <c r="Z512" s="22"/>
      <c r="AA512" s="22"/>
      <c r="AB512" s="22"/>
      <c r="AC512" s="41"/>
      <c r="AD512" s="22"/>
    </row>
    <row r="513" spans="18:30" x14ac:dyDescent="0.25">
      <c r="R513" s="22"/>
      <c r="S513" s="22"/>
      <c r="T513" s="331"/>
      <c r="U513" s="22"/>
      <c r="V513" s="22"/>
      <c r="W513" s="22"/>
      <c r="X513" s="22"/>
      <c r="Y513" s="22"/>
      <c r="Z513" s="22"/>
      <c r="AA513" s="22"/>
      <c r="AB513" s="22"/>
      <c r="AC513" s="41"/>
      <c r="AD513" s="22"/>
    </row>
    <row r="514" spans="18:30" x14ac:dyDescent="0.25">
      <c r="R514" s="22"/>
      <c r="S514" s="22"/>
      <c r="T514" s="331"/>
      <c r="U514" s="22"/>
      <c r="V514" s="22"/>
      <c r="W514" s="22"/>
      <c r="X514" s="22"/>
      <c r="Y514" s="22"/>
      <c r="Z514" s="22"/>
      <c r="AA514" s="22"/>
      <c r="AB514" s="22"/>
      <c r="AC514" s="41"/>
      <c r="AD514" s="22"/>
    </row>
    <row r="515" spans="18:30" x14ac:dyDescent="0.25">
      <c r="R515" s="22"/>
      <c r="S515" s="22"/>
      <c r="T515" s="331"/>
      <c r="U515" s="22"/>
      <c r="V515" s="22"/>
      <c r="W515" s="22"/>
      <c r="X515" s="22"/>
      <c r="Y515" s="22"/>
      <c r="Z515" s="22"/>
      <c r="AA515" s="22"/>
      <c r="AB515" s="22"/>
      <c r="AC515" s="41"/>
      <c r="AD515" s="22"/>
    </row>
    <row r="516" spans="18:30" x14ac:dyDescent="0.25">
      <c r="R516" s="22"/>
      <c r="S516" s="22"/>
      <c r="T516" s="331"/>
      <c r="U516" s="22"/>
      <c r="V516" s="22"/>
      <c r="W516" s="22"/>
      <c r="X516" s="22"/>
      <c r="Y516" s="22"/>
      <c r="Z516" s="22"/>
      <c r="AA516" s="22"/>
      <c r="AB516" s="22"/>
      <c r="AC516" s="41"/>
      <c r="AD516" s="22"/>
    </row>
    <row r="517" spans="18:30" x14ac:dyDescent="0.25">
      <c r="R517" s="22"/>
      <c r="S517" s="22"/>
      <c r="T517" s="331"/>
      <c r="U517" s="22"/>
      <c r="V517" s="22"/>
      <c r="W517" s="22"/>
      <c r="X517" s="22"/>
      <c r="Y517" s="22"/>
      <c r="Z517" s="22"/>
      <c r="AA517" s="22"/>
      <c r="AB517" s="22"/>
      <c r="AC517" s="41"/>
      <c r="AD517" s="22"/>
    </row>
    <row r="518" spans="18:30" x14ac:dyDescent="0.25">
      <c r="R518" s="22"/>
      <c r="S518" s="22"/>
      <c r="T518" s="331"/>
      <c r="U518" s="22"/>
      <c r="V518" s="22"/>
      <c r="W518" s="22"/>
      <c r="X518" s="22"/>
      <c r="Y518" s="22"/>
      <c r="Z518" s="22"/>
      <c r="AA518" s="22"/>
      <c r="AB518" s="22"/>
      <c r="AC518" s="41"/>
      <c r="AD518" s="22"/>
    </row>
    <row r="519" spans="18:30" x14ac:dyDescent="0.25">
      <c r="R519" s="22"/>
      <c r="S519" s="22"/>
      <c r="T519" s="331"/>
      <c r="U519" s="22"/>
      <c r="V519" s="22"/>
      <c r="W519" s="22"/>
      <c r="X519" s="22"/>
      <c r="Y519" s="22"/>
      <c r="Z519" s="22"/>
      <c r="AA519" s="22"/>
      <c r="AB519" s="22"/>
      <c r="AC519" s="41"/>
      <c r="AD519" s="22"/>
    </row>
    <row r="520" spans="18:30" x14ac:dyDescent="0.25">
      <c r="R520" s="22"/>
      <c r="S520" s="22"/>
      <c r="T520" s="331"/>
      <c r="U520" s="22"/>
      <c r="V520" s="22"/>
      <c r="W520" s="22"/>
      <c r="X520" s="22"/>
      <c r="Y520" s="22"/>
      <c r="Z520" s="22"/>
      <c r="AA520" s="22"/>
      <c r="AB520" s="22"/>
      <c r="AC520" s="41"/>
      <c r="AD520" s="22"/>
    </row>
    <row r="521" spans="18:30" x14ac:dyDescent="0.25">
      <c r="R521" s="22"/>
      <c r="S521" s="22"/>
      <c r="T521" s="331"/>
      <c r="U521" s="22"/>
      <c r="V521" s="22"/>
      <c r="W521" s="22"/>
      <c r="X521" s="22"/>
      <c r="Y521" s="22"/>
      <c r="Z521" s="22"/>
      <c r="AA521" s="22"/>
      <c r="AB521" s="22"/>
      <c r="AC521" s="41"/>
      <c r="AD521" s="22"/>
    </row>
    <row r="522" spans="18:30" x14ac:dyDescent="0.25">
      <c r="R522" s="22"/>
      <c r="S522" s="22"/>
      <c r="T522" s="331"/>
      <c r="U522" s="22"/>
      <c r="V522" s="22"/>
      <c r="W522" s="22"/>
      <c r="X522" s="22"/>
      <c r="Y522" s="22"/>
      <c r="Z522" s="22"/>
      <c r="AA522" s="22"/>
      <c r="AB522" s="22"/>
      <c r="AC522" s="41"/>
      <c r="AD522" s="22"/>
    </row>
    <row r="523" spans="18:30" x14ac:dyDescent="0.25">
      <c r="R523" s="22"/>
      <c r="S523" s="22"/>
      <c r="T523" s="331"/>
      <c r="U523" s="22"/>
      <c r="V523" s="22"/>
      <c r="W523" s="22"/>
      <c r="X523" s="22"/>
      <c r="Y523" s="22"/>
      <c r="Z523" s="22"/>
      <c r="AA523" s="22"/>
      <c r="AB523" s="22"/>
      <c r="AC523" s="41"/>
      <c r="AD523" s="22"/>
    </row>
    <row r="524" spans="18:30" x14ac:dyDescent="0.25">
      <c r="R524" s="22"/>
      <c r="S524" s="22"/>
      <c r="T524" s="331"/>
      <c r="U524" s="22"/>
      <c r="V524" s="22"/>
      <c r="W524" s="22"/>
      <c r="X524" s="22"/>
      <c r="Y524" s="22"/>
      <c r="Z524" s="22"/>
      <c r="AA524" s="22"/>
      <c r="AB524" s="22"/>
      <c r="AC524" s="41"/>
      <c r="AD524" s="22"/>
    </row>
    <row r="525" spans="18:30" x14ac:dyDescent="0.25">
      <c r="R525" s="22"/>
      <c r="S525" s="22"/>
      <c r="T525" s="331"/>
      <c r="U525" s="22"/>
      <c r="V525" s="22"/>
      <c r="W525" s="22"/>
      <c r="X525" s="22"/>
      <c r="Y525" s="22"/>
      <c r="Z525" s="22"/>
      <c r="AA525" s="22"/>
      <c r="AB525" s="22"/>
      <c r="AC525" s="41"/>
      <c r="AD525" s="22"/>
    </row>
    <row r="526" spans="18:30" x14ac:dyDescent="0.25">
      <c r="R526" s="22"/>
      <c r="S526" s="22"/>
      <c r="T526" s="331"/>
      <c r="U526" s="22"/>
      <c r="V526" s="22"/>
      <c r="W526" s="22"/>
      <c r="X526" s="22"/>
      <c r="Y526" s="22"/>
      <c r="Z526" s="22"/>
      <c r="AA526" s="22"/>
      <c r="AB526" s="22"/>
      <c r="AC526" s="41"/>
      <c r="AD526" s="22"/>
    </row>
    <row r="527" spans="18:30" x14ac:dyDescent="0.25">
      <c r="R527" s="22"/>
      <c r="S527" s="22"/>
      <c r="T527" s="331"/>
      <c r="U527" s="22"/>
      <c r="V527" s="22"/>
      <c r="W527" s="22"/>
      <c r="X527" s="22"/>
      <c r="Y527" s="22"/>
      <c r="Z527" s="22"/>
      <c r="AA527" s="22"/>
      <c r="AB527" s="22"/>
      <c r="AC527" s="41"/>
      <c r="AD527" s="22"/>
    </row>
    <row r="528" spans="18:30" x14ac:dyDescent="0.25">
      <c r="R528" s="22"/>
      <c r="S528" s="22"/>
      <c r="T528" s="331"/>
      <c r="U528" s="22"/>
      <c r="V528" s="22"/>
      <c r="W528" s="22"/>
      <c r="X528" s="22"/>
      <c r="Y528" s="22"/>
      <c r="Z528" s="22"/>
      <c r="AA528" s="22"/>
      <c r="AB528" s="22"/>
      <c r="AC528" s="41"/>
      <c r="AD528" s="22"/>
    </row>
    <row r="529" spans="18:30" x14ac:dyDescent="0.25">
      <c r="R529" s="22"/>
      <c r="S529" s="22"/>
      <c r="T529" s="331"/>
      <c r="U529" s="22"/>
      <c r="V529" s="22"/>
      <c r="W529" s="22"/>
      <c r="X529" s="22"/>
      <c r="Y529" s="22"/>
      <c r="Z529" s="22"/>
      <c r="AA529" s="22"/>
      <c r="AB529" s="22"/>
      <c r="AC529" s="41"/>
      <c r="AD529" s="22"/>
    </row>
    <row r="530" spans="18:30" x14ac:dyDescent="0.25">
      <c r="R530" s="22"/>
      <c r="S530" s="22"/>
      <c r="T530" s="331"/>
      <c r="U530" s="22"/>
      <c r="V530" s="22"/>
      <c r="W530" s="22"/>
      <c r="X530" s="22"/>
      <c r="Y530" s="22"/>
      <c r="Z530" s="22"/>
      <c r="AA530" s="22"/>
      <c r="AB530" s="22"/>
      <c r="AC530" s="41"/>
      <c r="AD530" s="22"/>
    </row>
    <row r="531" spans="18:30" x14ac:dyDescent="0.25">
      <c r="R531" s="22"/>
      <c r="S531" s="22"/>
      <c r="T531" s="331"/>
      <c r="U531" s="22"/>
      <c r="V531" s="22"/>
      <c r="W531" s="22"/>
      <c r="X531" s="22"/>
      <c r="Y531" s="22"/>
      <c r="Z531" s="22"/>
      <c r="AA531" s="22"/>
      <c r="AB531" s="22"/>
      <c r="AC531" s="41"/>
      <c r="AD531" s="22"/>
    </row>
    <row r="532" spans="18:30" x14ac:dyDescent="0.25">
      <c r="R532" s="22"/>
      <c r="S532" s="22"/>
      <c r="T532" s="331"/>
      <c r="U532" s="22"/>
      <c r="V532" s="22"/>
      <c r="W532" s="22"/>
      <c r="X532" s="22"/>
      <c r="Y532" s="22"/>
      <c r="Z532" s="22"/>
      <c r="AA532" s="22"/>
      <c r="AB532" s="22"/>
      <c r="AC532" s="41"/>
      <c r="AD532" s="22"/>
    </row>
    <row r="533" spans="18:30" x14ac:dyDescent="0.25">
      <c r="R533" s="22"/>
      <c r="S533" s="22"/>
      <c r="T533" s="331"/>
      <c r="U533" s="22"/>
      <c r="V533" s="22"/>
      <c r="W533" s="22"/>
      <c r="X533" s="22"/>
      <c r="Y533" s="22"/>
      <c r="Z533" s="22"/>
      <c r="AA533" s="22"/>
      <c r="AB533" s="22"/>
      <c r="AC533" s="41"/>
      <c r="AD533" s="22"/>
    </row>
    <row r="534" spans="18:30" x14ac:dyDescent="0.25">
      <c r="R534" s="22"/>
      <c r="S534" s="22"/>
      <c r="T534" s="331"/>
      <c r="U534" s="22"/>
      <c r="V534" s="22"/>
      <c r="W534" s="22"/>
      <c r="X534" s="22"/>
      <c r="Y534" s="22"/>
      <c r="Z534" s="22"/>
      <c r="AA534" s="22"/>
      <c r="AB534" s="22"/>
      <c r="AC534" s="41"/>
      <c r="AD534" s="22"/>
    </row>
    <row r="535" spans="18:30" x14ac:dyDescent="0.25">
      <c r="R535" s="22"/>
      <c r="S535" s="22"/>
      <c r="T535" s="331"/>
      <c r="U535" s="22"/>
      <c r="V535" s="22"/>
      <c r="W535" s="22"/>
      <c r="X535" s="22"/>
      <c r="Y535" s="22"/>
      <c r="Z535" s="22"/>
      <c r="AA535" s="22"/>
      <c r="AB535" s="22"/>
      <c r="AC535" s="41"/>
      <c r="AD535" s="22"/>
    </row>
    <row r="536" spans="18:30" x14ac:dyDescent="0.25">
      <c r="R536" s="22"/>
      <c r="S536" s="22"/>
      <c r="T536" s="331"/>
      <c r="U536" s="22"/>
      <c r="V536" s="22"/>
      <c r="W536" s="22"/>
      <c r="X536" s="22"/>
      <c r="Y536" s="22"/>
      <c r="Z536" s="22"/>
      <c r="AA536" s="22"/>
      <c r="AB536" s="22"/>
      <c r="AC536" s="41"/>
      <c r="AD536" s="22"/>
    </row>
    <row r="537" spans="18:30" x14ac:dyDescent="0.25">
      <c r="R537" s="22"/>
      <c r="S537" s="22"/>
      <c r="T537" s="331"/>
      <c r="U537" s="22"/>
      <c r="V537" s="22"/>
      <c r="W537" s="22"/>
      <c r="X537" s="22"/>
      <c r="Y537" s="22"/>
      <c r="Z537" s="22"/>
      <c r="AA537" s="22"/>
      <c r="AB537" s="22"/>
      <c r="AC537" s="41"/>
      <c r="AD537" s="22"/>
    </row>
    <row r="538" spans="18:30" x14ac:dyDescent="0.25">
      <c r="R538" s="22"/>
      <c r="S538" s="22"/>
      <c r="T538" s="331"/>
      <c r="U538" s="22"/>
      <c r="V538" s="22"/>
      <c r="W538" s="22"/>
      <c r="X538" s="22"/>
      <c r="Y538" s="22"/>
      <c r="Z538" s="22"/>
      <c r="AA538" s="22"/>
      <c r="AB538" s="22"/>
      <c r="AC538" s="41"/>
      <c r="AD538" s="22"/>
    </row>
    <row r="539" spans="18:30" x14ac:dyDescent="0.25">
      <c r="R539" s="22"/>
      <c r="S539" s="22"/>
      <c r="T539" s="331"/>
      <c r="U539" s="22"/>
      <c r="V539" s="22"/>
      <c r="W539" s="22"/>
      <c r="X539" s="22"/>
      <c r="Y539" s="22"/>
      <c r="Z539" s="22"/>
      <c r="AA539" s="22"/>
      <c r="AB539" s="22"/>
      <c r="AC539" s="41"/>
      <c r="AD539" s="22"/>
    </row>
    <row r="540" spans="18:30" x14ac:dyDescent="0.25">
      <c r="R540" s="22"/>
      <c r="S540" s="22"/>
      <c r="T540" s="331"/>
      <c r="U540" s="22"/>
      <c r="V540" s="22"/>
      <c r="W540" s="22"/>
      <c r="X540" s="22"/>
      <c r="Y540" s="22"/>
      <c r="Z540" s="22"/>
      <c r="AA540" s="22"/>
      <c r="AB540" s="22"/>
      <c r="AC540" s="41"/>
      <c r="AD540" s="22"/>
    </row>
    <row r="541" spans="18:30" x14ac:dyDescent="0.25">
      <c r="R541" s="22"/>
      <c r="S541" s="22"/>
      <c r="T541" s="331"/>
      <c r="U541" s="22"/>
      <c r="V541" s="22"/>
      <c r="W541" s="22"/>
      <c r="X541" s="22"/>
      <c r="Y541" s="22"/>
      <c r="Z541" s="22"/>
      <c r="AA541" s="22"/>
      <c r="AB541" s="22"/>
      <c r="AC541" s="41"/>
      <c r="AD541" s="22"/>
    </row>
    <row r="542" spans="18:30" x14ac:dyDescent="0.25">
      <c r="R542" s="22"/>
      <c r="S542" s="22"/>
      <c r="T542" s="331"/>
      <c r="U542" s="22"/>
      <c r="V542" s="22"/>
      <c r="W542" s="22"/>
      <c r="X542" s="22"/>
      <c r="Y542" s="22"/>
      <c r="Z542" s="22"/>
      <c r="AA542" s="22"/>
      <c r="AB542" s="22"/>
      <c r="AC542" s="41"/>
      <c r="AD542" s="22"/>
    </row>
    <row r="543" spans="18:30" x14ac:dyDescent="0.25">
      <c r="R543" s="22"/>
      <c r="S543" s="22"/>
      <c r="T543" s="331"/>
      <c r="U543" s="22"/>
      <c r="V543" s="22"/>
      <c r="W543" s="22"/>
      <c r="X543" s="22"/>
      <c r="Y543" s="22"/>
      <c r="Z543" s="22"/>
      <c r="AA543" s="22"/>
      <c r="AB543" s="22"/>
      <c r="AC543" s="41"/>
      <c r="AD543" s="22"/>
    </row>
    <row r="544" spans="18:30" x14ac:dyDescent="0.25">
      <c r="R544" s="22"/>
      <c r="S544" s="22"/>
      <c r="T544" s="331"/>
      <c r="U544" s="22"/>
      <c r="V544" s="22"/>
      <c r="W544" s="22"/>
      <c r="X544" s="22"/>
      <c r="Y544" s="22"/>
      <c r="Z544" s="22"/>
      <c r="AA544" s="22"/>
      <c r="AB544" s="22"/>
      <c r="AC544" s="41"/>
      <c r="AD544" s="22"/>
    </row>
    <row r="545" spans="18:30" x14ac:dyDescent="0.25">
      <c r="R545" s="22"/>
      <c r="S545" s="22"/>
      <c r="T545" s="331"/>
      <c r="U545" s="22"/>
      <c r="V545" s="22"/>
      <c r="W545" s="22"/>
      <c r="X545" s="22"/>
      <c r="Y545" s="22"/>
      <c r="Z545" s="22"/>
      <c r="AA545" s="22"/>
      <c r="AB545" s="22"/>
      <c r="AC545" s="41"/>
      <c r="AD545" s="22"/>
    </row>
    <row r="546" spans="18:30" x14ac:dyDescent="0.25">
      <c r="R546" s="22"/>
      <c r="S546" s="22"/>
      <c r="T546" s="331"/>
      <c r="U546" s="22"/>
      <c r="V546" s="22"/>
      <c r="W546" s="22"/>
      <c r="X546" s="22"/>
      <c r="Y546" s="22"/>
      <c r="Z546" s="22"/>
      <c r="AA546" s="22"/>
      <c r="AB546" s="22"/>
      <c r="AC546" s="41"/>
      <c r="AD546" s="22"/>
    </row>
    <row r="547" spans="18:30" x14ac:dyDescent="0.25">
      <c r="R547" s="22"/>
      <c r="S547" s="22"/>
      <c r="T547" s="331"/>
      <c r="U547" s="22"/>
      <c r="V547" s="22"/>
      <c r="W547" s="22"/>
      <c r="X547" s="22"/>
      <c r="Y547" s="22"/>
      <c r="Z547" s="22"/>
      <c r="AA547" s="22"/>
      <c r="AB547" s="22"/>
      <c r="AC547" s="41"/>
      <c r="AD547" s="22"/>
    </row>
    <row r="548" spans="18:30" x14ac:dyDescent="0.25">
      <c r="R548" s="22"/>
      <c r="S548" s="22"/>
      <c r="T548" s="331"/>
      <c r="U548" s="22"/>
      <c r="V548" s="22"/>
      <c r="W548" s="22"/>
      <c r="X548" s="22"/>
      <c r="Y548" s="22"/>
      <c r="Z548" s="22"/>
      <c r="AA548" s="22"/>
      <c r="AB548" s="22"/>
      <c r="AC548" s="41"/>
      <c r="AD548" s="22"/>
    </row>
    <row r="549" spans="18:30" x14ac:dyDescent="0.25">
      <c r="R549" s="22"/>
      <c r="S549" s="22"/>
      <c r="T549" s="331"/>
      <c r="U549" s="22"/>
      <c r="V549" s="22"/>
      <c r="W549" s="22"/>
      <c r="X549" s="22"/>
      <c r="Y549" s="22"/>
      <c r="Z549" s="22"/>
      <c r="AA549" s="22"/>
      <c r="AB549" s="22"/>
      <c r="AC549" s="41"/>
      <c r="AD549" s="22"/>
    </row>
    <row r="550" spans="18:30" x14ac:dyDescent="0.25">
      <c r="R550" s="22"/>
      <c r="S550" s="22"/>
      <c r="T550" s="331"/>
      <c r="U550" s="22"/>
      <c r="V550" s="22"/>
      <c r="W550" s="22"/>
      <c r="X550" s="22"/>
      <c r="Y550" s="22"/>
      <c r="Z550" s="22"/>
      <c r="AA550" s="22"/>
      <c r="AB550" s="22"/>
      <c r="AC550" s="41"/>
      <c r="AD550" s="22"/>
    </row>
    <row r="551" spans="18:30" x14ac:dyDescent="0.25">
      <c r="R551" s="22"/>
      <c r="S551" s="22"/>
      <c r="T551" s="331"/>
      <c r="U551" s="22"/>
      <c r="V551" s="22"/>
      <c r="W551" s="22"/>
      <c r="X551" s="22"/>
      <c r="Y551" s="22"/>
      <c r="Z551" s="22"/>
      <c r="AA551" s="22"/>
      <c r="AB551" s="22"/>
      <c r="AC551" s="41"/>
      <c r="AD551" s="22"/>
    </row>
    <row r="552" spans="18:30" x14ac:dyDescent="0.25">
      <c r="R552" s="22"/>
      <c r="S552" s="22"/>
      <c r="T552" s="331"/>
      <c r="U552" s="22"/>
      <c r="V552" s="22"/>
      <c r="W552" s="22"/>
      <c r="X552" s="22"/>
      <c r="Y552" s="22"/>
      <c r="Z552" s="22"/>
      <c r="AA552" s="22"/>
      <c r="AB552" s="22"/>
      <c r="AC552" s="41"/>
      <c r="AD552" s="22"/>
    </row>
    <row r="553" spans="18:30" x14ac:dyDescent="0.25">
      <c r="R553" s="22"/>
      <c r="S553" s="22"/>
      <c r="T553" s="331"/>
      <c r="U553" s="22"/>
      <c r="V553" s="22"/>
      <c r="W553" s="22"/>
      <c r="X553" s="22"/>
      <c r="Y553" s="22"/>
      <c r="Z553" s="22"/>
      <c r="AA553" s="22"/>
      <c r="AB553" s="22"/>
      <c r="AC553" s="41"/>
      <c r="AD553" s="22"/>
    </row>
    <row r="554" spans="18:30" x14ac:dyDescent="0.25">
      <c r="R554" s="22"/>
      <c r="S554" s="22"/>
      <c r="T554" s="331"/>
      <c r="U554" s="22"/>
      <c r="V554" s="22"/>
      <c r="W554" s="22"/>
      <c r="X554" s="22"/>
      <c r="Y554" s="22"/>
      <c r="Z554" s="22"/>
      <c r="AA554" s="22"/>
      <c r="AB554" s="22"/>
      <c r="AC554" s="41"/>
      <c r="AD554" s="22"/>
    </row>
    <row r="555" spans="18:30" x14ac:dyDescent="0.25">
      <c r="R555" s="22"/>
      <c r="S555" s="22"/>
      <c r="T555" s="331"/>
      <c r="U555" s="22"/>
      <c r="V555" s="22"/>
      <c r="W555" s="22"/>
      <c r="X555" s="22"/>
      <c r="Y555" s="22"/>
      <c r="Z555" s="22"/>
      <c r="AA555" s="22"/>
      <c r="AB555" s="22"/>
      <c r="AC555" s="41"/>
      <c r="AD555" s="22"/>
    </row>
    <row r="556" spans="18:30" x14ac:dyDescent="0.25">
      <c r="R556" s="22"/>
      <c r="S556" s="22"/>
      <c r="T556" s="331"/>
      <c r="U556" s="22"/>
      <c r="V556" s="22"/>
      <c r="W556" s="22"/>
      <c r="X556" s="22"/>
      <c r="Y556" s="22"/>
      <c r="Z556" s="22"/>
      <c r="AA556" s="22"/>
      <c r="AB556" s="22"/>
      <c r="AC556" s="41"/>
      <c r="AD556" s="22"/>
    </row>
    <row r="557" spans="18:30" x14ac:dyDescent="0.25">
      <c r="R557" s="22"/>
      <c r="S557" s="22"/>
      <c r="T557" s="331"/>
      <c r="U557" s="22"/>
      <c r="V557" s="22"/>
      <c r="W557" s="22"/>
      <c r="X557" s="22"/>
      <c r="Y557" s="22"/>
      <c r="Z557" s="22"/>
      <c r="AA557" s="22"/>
      <c r="AB557" s="22"/>
      <c r="AC557" s="41"/>
      <c r="AD557" s="22"/>
    </row>
    <row r="558" spans="18:30" x14ac:dyDescent="0.25">
      <c r="R558" s="22"/>
      <c r="S558" s="22"/>
      <c r="T558" s="331"/>
      <c r="U558" s="22"/>
      <c r="V558" s="22"/>
      <c r="W558" s="22"/>
      <c r="X558" s="22"/>
      <c r="Y558" s="22"/>
      <c r="Z558" s="22"/>
      <c r="AA558" s="22"/>
      <c r="AB558" s="22"/>
      <c r="AC558" s="41"/>
      <c r="AD558" s="22"/>
    </row>
    <row r="559" spans="18:30" x14ac:dyDescent="0.25">
      <c r="R559" s="22"/>
      <c r="S559" s="22"/>
      <c r="T559" s="331"/>
      <c r="U559" s="22"/>
      <c r="V559" s="22"/>
      <c r="W559" s="22"/>
      <c r="X559" s="22"/>
      <c r="Y559" s="22"/>
      <c r="Z559" s="22"/>
      <c r="AA559" s="22"/>
      <c r="AB559" s="22"/>
      <c r="AC559" s="41"/>
      <c r="AD559" s="22"/>
    </row>
    <row r="560" spans="18:30" x14ac:dyDescent="0.25">
      <c r="R560" s="22"/>
      <c r="S560" s="22"/>
      <c r="T560" s="331"/>
      <c r="U560" s="22"/>
      <c r="V560" s="22"/>
      <c r="W560" s="22"/>
      <c r="X560" s="22"/>
      <c r="Y560" s="22"/>
      <c r="Z560" s="22"/>
      <c r="AA560" s="22"/>
      <c r="AB560" s="22"/>
      <c r="AC560" s="41"/>
      <c r="AD560" s="22"/>
    </row>
    <row r="561" spans="18:30" x14ac:dyDescent="0.25">
      <c r="R561" s="22"/>
      <c r="S561" s="22"/>
      <c r="T561" s="331"/>
      <c r="U561" s="22"/>
      <c r="V561" s="22"/>
      <c r="W561" s="22"/>
      <c r="X561" s="22"/>
      <c r="Y561" s="22"/>
      <c r="Z561" s="22"/>
      <c r="AA561" s="22"/>
      <c r="AB561" s="22"/>
      <c r="AC561" s="41"/>
      <c r="AD561" s="22"/>
    </row>
    <row r="562" spans="18:30" x14ac:dyDescent="0.25">
      <c r="R562" s="22"/>
      <c r="S562" s="22"/>
      <c r="T562" s="331"/>
      <c r="U562" s="22"/>
      <c r="V562" s="22"/>
      <c r="W562" s="22"/>
      <c r="X562" s="22"/>
      <c r="Y562" s="22"/>
      <c r="Z562" s="22"/>
      <c r="AA562" s="22"/>
      <c r="AB562" s="22"/>
      <c r="AC562" s="41"/>
      <c r="AD562" s="22"/>
    </row>
    <row r="563" spans="18:30" x14ac:dyDescent="0.25">
      <c r="R563" s="22"/>
      <c r="S563" s="22"/>
      <c r="T563" s="331"/>
      <c r="U563" s="22"/>
      <c r="V563" s="22"/>
      <c r="W563" s="22"/>
      <c r="X563" s="22"/>
      <c r="Y563" s="22"/>
      <c r="Z563" s="22"/>
      <c r="AA563" s="22"/>
      <c r="AB563" s="22"/>
      <c r="AC563" s="41"/>
      <c r="AD563" s="22"/>
    </row>
    <row r="564" spans="18:30" x14ac:dyDescent="0.25">
      <c r="R564" s="22"/>
      <c r="S564" s="22"/>
      <c r="T564" s="331"/>
      <c r="U564" s="22"/>
      <c r="V564" s="22"/>
      <c r="W564" s="22"/>
      <c r="X564" s="22"/>
      <c r="Y564" s="22"/>
      <c r="Z564" s="22"/>
      <c r="AA564" s="22"/>
      <c r="AB564" s="22"/>
      <c r="AC564" s="41"/>
      <c r="AD564" s="22"/>
    </row>
    <row r="565" spans="18:30" x14ac:dyDescent="0.25">
      <c r="R565" s="22"/>
      <c r="S565" s="22"/>
      <c r="T565" s="331"/>
      <c r="U565" s="22"/>
      <c r="V565" s="22"/>
      <c r="W565" s="22"/>
      <c r="X565" s="22"/>
      <c r="Y565" s="22"/>
      <c r="Z565" s="22"/>
      <c r="AA565" s="22"/>
      <c r="AB565" s="22"/>
      <c r="AC565" s="41"/>
      <c r="AD565" s="22"/>
    </row>
    <row r="566" spans="18:30" x14ac:dyDescent="0.25">
      <c r="R566" s="22"/>
      <c r="S566" s="22"/>
      <c r="T566" s="331"/>
      <c r="U566" s="22"/>
      <c r="V566" s="22"/>
      <c r="W566" s="22"/>
      <c r="X566" s="22"/>
      <c r="Y566" s="22"/>
      <c r="Z566" s="22"/>
      <c r="AA566" s="22"/>
      <c r="AB566" s="22"/>
      <c r="AC566" s="41"/>
      <c r="AD566" s="22"/>
    </row>
    <row r="567" spans="18:30" x14ac:dyDescent="0.25">
      <c r="R567" s="22"/>
      <c r="S567" s="22"/>
      <c r="T567" s="331"/>
      <c r="U567" s="22"/>
      <c r="V567" s="22"/>
      <c r="W567" s="22"/>
      <c r="X567" s="22"/>
      <c r="Y567" s="22"/>
      <c r="Z567" s="22"/>
      <c r="AA567" s="22"/>
      <c r="AB567" s="22"/>
      <c r="AC567" s="41"/>
      <c r="AD567" s="22"/>
    </row>
    <row r="568" spans="18:30" x14ac:dyDescent="0.25">
      <c r="R568" s="22"/>
      <c r="S568" s="22"/>
      <c r="T568" s="331"/>
      <c r="U568" s="22"/>
      <c r="V568" s="22"/>
      <c r="W568" s="22"/>
      <c r="X568" s="22"/>
      <c r="Y568" s="22"/>
      <c r="Z568" s="22"/>
      <c r="AA568" s="22"/>
      <c r="AB568" s="22"/>
      <c r="AC568" s="41"/>
      <c r="AD568" s="22"/>
    </row>
    <row r="569" spans="18:30" x14ac:dyDescent="0.25">
      <c r="R569" s="22"/>
      <c r="S569" s="22"/>
      <c r="T569" s="331"/>
      <c r="U569" s="22"/>
      <c r="V569" s="22"/>
      <c r="W569" s="22"/>
      <c r="X569" s="22"/>
      <c r="Y569" s="22"/>
      <c r="Z569" s="22"/>
      <c r="AA569" s="22"/>
      <c r="AB569" s="22"/>
      <c r="AC569" s="41"/>
      <c r="AD569" s="22"/>
    </row>
    <row r="570" spans="18:30" x14ac:dyDescent="0.25">
      <c r="R570" s="22"/>
      <c r="S570" s="22"/>
      <c r="T570" s="331"/>
      <c r="U570" s="22"/>
      <c r="V570" s="22"/>
      <c r="W570" s="22"/>
      <c r="X570" s="22"/>
      <c r="Y570" s="22"/>
      <c r="Z570" s="22"/>
      <c r="AA570" s="22"/>
      <c r="AB570" s="22"/>
      <c r="AC570" s="41"/>
      <c r="AD570" s="22"/>
    </row>
    <row r="571" spans="18:30" x14ac:dyDescent="0.25">
      <c r="R571" s="22"/>
      <c r="S571" s="22"/>
      <c r="T571" s="331"/>
      <c r="U571" s="22"/>
      <c r="V571" s="22"/>
      <c r="W571" s="22"/>
      <c r="X571" s="22"/>
      <c r="Y571" s="22"/>
      <c r="Z571" s="22"/>
      <c r="AA571" s="22"/>
      <c r="AB571" s="22"/>
      <c r="AC571" s="41"/>
      <c r="AD571" s="22"/>
    </row>
    <row r="572" spans="18:30" x14ac:dyDescent="0.25">
      <c r="R572" s="22"/>
      <c r="S572" s="22"/>
      <c r="T572" s="331"/>
      <c r="U572" s="22"/>
      <c r="V572" s="22"/>
      <c r="W572" s="22"/>
      <c r="X572" s="22"/>
      <c r="Y572" s="22"/>
      <c r="Z572" s="22"/>
      <c r="AA572" s="22"/>
      <c r="AB572" s="22"/>
      <c r="AC572" s="41"/>
      <c r="AD572" s="22"/>
    </row>
    <row r="573" spans="18:30" x14ac:dyDescent="0.25">
      <c r="R573" s="22"/>
      <c r="S573" s="22"/>
      <c r="T573" s="331"/>
      <c r="U573" s="22"/>
      <c r="V573" s="22"/>
      <c r="W573" s="22"/>
      <c r="X573" s="22"/>
      <c r="Y573" s="22"/>
      <c r="Z573" s="22"/>
      <c r="AA573" s="22"/>
      <c r="AB573" s="22"/>
      <c r="AC573" s="41"/>
      <c r="AD573" s="22"/>
    </row>
    <row r="574" spans="18:30" x14ac:dyDescent="0.25">
      <c r="R574" s="22"/>
      <c r="S574" s="22"/>
      <c r="T574" s="331"/>
      <c r="U574" s="22"/>
      <c r="V574" s="22"/>
      <c r="W574" s="22"/>
      <c r="X574" s="22"/>
      <c r="Y574" s="22"/>
      <c r="Z574" s="22"/>
      <c r="AA574" s="22"/>
      <c r="AB574" s="22"/>
      <c r="AC574" s="41"/>
      <c r="AD574" s="22"/>
    </row>
    <row r="575" spans="18:30" x14ac:dyDescent="0.25">
      <c r="R575" s="22"/>
      <c r="S575" s="22"/>
      <c r="T575" s="331"/>
      <c r="U575" s="22"/>
      <c r="V575" s="22"/>
      <c r="W575" s="22"/>
      <c r="X575" s="22"/>
      <c r="Y575" s="22"/>
      <c r="Z575" s="22"/>
      <c r="AA575" s="22"/>
      <c r="AB575" s="22"/>
      <c r="AC575" s="41"/>
      <c r="AD575" s="22"/>
    </row>
    <row r="576" spans="18:30" x14ac:dyDescent="0.25">
      <c r="R576" s="22"/>
      <c r="S576" s="22"/>
      <c r="T576" s="331"/>
      <c r="U576" s="22"/>
      <c r="V576" s="22"/>
      <c r="W576" s="22"/>
      <c r="X576" s="22"/>
      <c r="Y576" s="22"/>
      <c r="Z576" s="22"/>
      <c r="AA576" s="22"/>
      <c r="AB576" s="22"/>
      <c r="AC576" s="41"/>
      <c r="AD576" s="22"/>
    </row>
    <row r="577" spans="18:30" x14ac:dyDescent="0.25">
      <c r="R577" s="22"/>
      <c r="S577" s="22"/>
      <c r="T577" s="331"/>
      <c r="U577" s="22"/>
      <c r="V577" s="22"/>
      <c r="W577" s="22"/>
      <c r="X577" s="22"/>
      <c r="Y577" s="22"/>
      <c r="Z577" s="22"/>
      <c r="AA577" s="22"/>
      <c r="AB577" s="22"/>
      <c r="AC577" s="41"/>
      <c r="AD577" s="22"/>
    </row>
    <row r="578" spans="18:30" x14ac:dyDescent="0.25">
      <c r="R578" s="22"/>
      <c r="S578" s="22"/>
      <c r="T578" s="331"/>
      <c r="U578" s="22"/>
      <c r="V578" s="22"/>
      <c r="W578" s="22"/>
      <c r="X578" s="22"/>
      <c r="Y578" s="22"/>
      <c r="Z578" s="22"/>
      <c r="AA578" s="22"/>
      <c r="AB578" s="22"/>
      <c r="AC578" s="41"/>
      <c r="AD578" s="22"/>
    </row>
    <row r="579" spans="18:30" x14ac:dyDescent="0.25">
      <c r="R579" s="22"/>
      <c r="S579" s="22"/>
      <c r="T579" s="331"/>
      <c r="U579" s="22"/>
      <c r="V579" s="22"/>
      <c r="W579" s="22"/>
      <c r="X579" s="22"/>
      <c r="Y579" s="22"/>
      <c r="Z579" s="22"/>
      <c r="AA579" s="22"/>
      <c r="AB579" s="22"/>
      <c r="AC579" s="41"/>
      <c r="AD579" s="22"/>
    </row>
    <row r="580" spans="18:30" x14ac:dyDescent="0.25">
      <c r="R580" s="22"/>
      <c r="S580" s="22"/>
      <c r="T580" s="331"/>
      <c r="U580" s="22"/>
      <c r="V580" s="22"/>
      <c r="W580" s="22"/>
      <c r="X580" s="22"/>
      <c r="Y580" s="22"/>
      <c r="Z580" s="22"/>
      <c r="AA580" s="22"/>
      <c r="AB580" s="22"/>
      <c r="AC580" s="41"/>
      <c r="AD580" s="22"/>
    </row>
    <row r="581" spans="18:30" x14ac:dyDescent="0.25">
      <c r="R581" s="22"/>
      <c r="S581" s="22"/>
      <c r="T581" s="331"/>
      <c r="U581" s="22"/>
      <c r="V581" s="22"/>
      <c r="W581" s="22"/>
      <c r="X581" s="22"/>
      <c r="Y581" s="22"/>
      <c r="Z581" s="22"/>
      <c r="AA581" s="22"/>
      <c r="AB581" s="22"/>
      <c r="AC581" s="41"/>
      <c r="AD581" s="22"/>
    </row>
    <row r="582" spans="18:30" x14ac:dyDescent="0.25">
      <c r="R582" s="22"/>
      <c r="S582" s="22"/>
      <c r="T582" s="331"/>
      <c r="U582" s="22"/>
      <c r="V582" s="22"/>
      <c r="W582" s="22"/>
      <c r="X582" s="22"/>
      <c r="Y582" s="22"/>
      <c r="Z582" s="22"/>
      <c r="AA582" s="22"/>
      <c r="AB582" s="22"/>
      <c r="AC582" s="41"/>
      <c r="AD582" s="22"/>
    </row>
    <row r="583" spans="18:30" x14ac:dyDescent="0.25">
      <c r="R583" s="22"/>
      <c r="S583" s="22"/>
      <c r="T583" s="331"/>
      <c r="U583" s="22"/>
      <c r="V583" s="22"/>
      <c r="W583" s="22"/>
      <c r="X583" s="22"/>
      <c r="Y583" s="22"/>
      <c r="Z583" s="22"/>
      <c r="AA583" s="22"/>
      <c r="AB583" s="22"/>
      <c r="AC583" s="41"/>
      <c r="AD583" s="22"/>
    </row>
    <row r="584" spans="18:30" x14ac:dyDescent="0.25">
      <c r="R584" s="22"/>
      <c r="S584" s="22"/>
      <c r="T584" s="331"/>
      <c r="U584" s="22"/>
      <c r="V584" s="22"/>
      <c r="W584" s="22"/>
      <c r="X584" s="22"/>
      <c r="Y584" s="22"/>
      <c r="Z584" s="22"/>
      <c r="AA584" s="22"/>
      <c r="AB584" s="22"/>
      <c r="AC584" s="41"/>
      <c r="AD584" s="22"/>
    </row>
    <row r="585" spans="18:30" x14ac:dyDescent="0.25">
      <c r="R585" s="22"/>
      <c r="S585" s="22"/>
      <c r="T585" s="331"/>
      <c r="U585" s="22"/>
      <c r="V585" s="22"/>
      <c r="W585" s="22"/>
      <c r="X585" s="22"/>
      <c r="Y585" s="22"/>
      <c r="Z585" s="22"/>
      <c r="AA585" s="22"/>
      <c r="AB585" s="22"/>
      <c r="AC585" s="41"/>
      <c r="AD585" s="22"/>
    </row>
    <row r="586" spans="18:30" x14ac:dyDescent="0.25">
      <c r="R586" s="22"/>
      <c r="S586" s="22"/>
      <c r="T586" s="331"/>
      <c r="U586" s="22"/>
      <c r="V586" s="22"/>
      <c r="W586" s="22"/>
      <c r="X586" s="22"/>
      <c r="Y586" s="22"/>
      <c r="Z586" s="22"/>
      <c r="AA586" s="22"/>
      <c r="AB586" s="22"/>
      <c r="AC586" s="41"/>
      <c r="AD586" s="22"/>
    </row>
    <row r="587" spans="18:30" x14ac:dyDescent="0.25">
      <c r="R587" s="22"/>
      <c r="S587" s="22"/>
      <c r="T587" s="331"/>
      <c r="U587" s="22"/>
      <c r="V587" s="22"/>
      <c r="W587" s="22"/>
      <c r="X587" s="22"/>
      <c r="Y587" s="22"/>
      <c r="Z587" s="22"/>
      <c r="AA587" s="22"/>
      <c r="AB587" s="22"/>
      <c r="AC587" s="41"/>
      <c r="AD587" s="22"/>
    </row>
    <row r="588" spans="18:30" x14ac:dyDescent="0.25">
      <c r="R588" s="22"/>
      <c r="S588" s="22"/>
      <c r="T588" s="331"/>
      <c r="U588" s="22"/>
      <c r="V588" s="22"/>
      <c r="W588" s="22"/>
      <c r="X588" s="22"/>
      <c r="Y588" s="22"/>
      <c r="Z588" s="22"/>
      <c r="AA588" s="22"/>
      <c r="AB588" s="22"/>
      <c r="AC588" s="41"/>
      <c r="AD588" s="22"/>
    </row>
    <row r="589" spans="18:30" x14ac:dyDescent="0.25">
      <c r="R589" s="22"/>
      <c r="S589" s="22"/>
      <c r="T589" s="331"/>
      <c r="U589" s="22"/>
      <c r="V589" s="22"/>
      <c r="W589" s="22"/>
      <c r="X589" s="22"/>
      <c r="Y589" s="22"/>
      <c r="Z589" s="22"/>
      <c r="AA589" s="22"/>
      <c r="AB589" s="22"/>
      <c r="AC589" s="41"/>
      <c r="AD589" s="22"/>
    </row>
    <row r="590" spans="18:30" x14ac:dyDescent="0.25">
      <c r="R590" s="22"/>
      <c r="S590" s="22"/>
      <c r="T590" s="331"/>
      <c r="U590" s="22"/>
      <c r="V590" s="22"/>
      <c r="W590" s="22"/>
      <c r="X590" s="22"/>
      <c r="Y590" s="22"/>
      <c r="Z590" s="22"/>
      <c r="AA590" s="22"/>
      <c r="AB590" s="22"/>
      <c r="AC590" s="41"/>
      <c r="AD590" s="22"/>
    </row>
    <row r="591" spans="18:30" x14ac:dyDescent="0.25">
      <c r="R591" s="22"/>
      <c r="S591" s="22"/>
      <c r="T591" s="331"/>
      <c r="U591" s="22"/>
      <c r="V591" s="22"/>
      <c r="W591" s="22"/>
      <c r="X591" s="22"/>
      <c r="Y591" s="22"/>
      <c r="Z591" s="22"/>
      <c r="AA591" s="22"/>
      <c r="AB591" s="22"/>
      <c r="AC591" s="41"/>
      <c r="AD591" s="22"/>
    </row>
    <row r="592" spans="18:30" x14ac:dyDescent="0.25">
      <c r="R592" s="22"/>
      <c r="S592" s="22"/>
      <c r="T592" s="331"/>
      <c r="U592" s="22"/>
      <c r="V592" s="22"/>
      <c r="W592" s="22"/>
      <c r="X592" s="22"/>
      <c r="Y592" s="22"/>
      <c r="Z592" s="22"/>
      <c r="AA592" s="22"/>
      <c r="AB592" s="22"/>
      <c r="AC592" s="41"/>
      <c r="AD592" s="22"/>
    </row>
    <row r="593" spans="18:30" x14ac:dyDescent="0.25">
      <c r="R593" s="22"/>
      <c r="S593" s="22"/>
      <c r="T593" s="331"/>
      <c r="U593" s="22"/>
      <c r="V593" s="22"/>
      <c r="W593" s="22"/>
      <c r="X593" s="22"/>
      <c r="Y593" s="22"/>
      <c r="Z593" s="22"/>
      <c r="AA593" s="22"/>
      <c r="AB593" s="22"/>
      <c r="AC593" s="41"/>
      <c r="AD593" s="22"/>
    </row>
    <row r="594" spans="18:30" x14ac:dyDescent="0.25">
      <c r="R594" s="22"/>
      <c r="S594" s="22"/>
      <c r="T594" s="331"/>
      <c r="U594" s="22"/>
      <c r="V594" s="22"/>
      <c r="W594" s="22"/>
      <c r="X594" s="22"/>
      <c r="Y594" s="22"/>
      <c r="Z594" s="22"/>
      <c r="AA594" s="22"/>
      <c r="AB594" s="22"/>
      <c r="AC594" s="41"/>
      <c r="AD594" s="22"/>
    </row>
    <row r="595" spans="18:30" x14ac:dyDescent="0.25">
      <c r="R595" s="22"/>
      <c r="S595" s="22"/>
      <c r="T595" s="331"/>
      <c r="U595" s="22"/>
      <c r="V595" s="22"/>
      <c r="W595" s="22"/>
      <c r="X595" s="22"/>
      <c r="Y595" s="22"/>
      <c r="Z595" s="22"/>
      <c r="AA595" s="22"/>
      <c r="AB595" s="22"/>
      <c r="AC595" s="41"/>
      <c r="AD595" s="22"/>
    </row>
    <row r="596" spans="18:30" x14ac:dyDescent="0.25">
      <c r="R596" s="22"/>
      <c r="S596" s="22"/>
      <c r="T596" s="331"/>
      <c r="U596" s="22"/>
      <c r="V596" s="22"/>
      <c r="W596" s="22"/>
      <c r="X596" s="22"/>
      <c r="Y596" s="22"/>
      <c r="Z596" s="22"/>
      <c r="AA596" s="22"/>
      <c r="AB596" s="22"/>
      <c r="AC596" s="41"/>
      <c r="AD596" s="22"/>
    </row>
    <row r="597" spans="18:30" x14ac:dyDescent="0.25">
      <c r="R597" s="22"/>
      <c r="S597" s="22"/>
      <c r="T597" s="331"/>
      <c r="U597" s="22"/>
      <c r="V597" s="22"/>
      <c r="W597" s="22"/>
      <c r="X597" s="22"/>
      <c r="Y597" s="22"/>
      <c r="Z597" s="22"/>
      <c r="AA597" s="22"/>
      <c r="AB597" s="22"/>
      <c r="AC597" s="41"/>
      <c r="AD597" s="22"/>
    </row>
    <row r="598" spans="18:30" x14ac:dyDescent="0.25">
      <c r="R598" s="22"/>
      <c r="S598" s="22"/>
      <c r="T598" s="331"/>
      <c r="U598" s="22"/>
      <c r="V598" s="22"/>
      <c r="W598" s="22"/>
      <c r="X598" s="22"/>
      <c r="Y598" s="22"/>
      <c r="Z598" s="22"/>
      <c r="AA598" s="22"/>
      <c r="AB598" s="22"/>
      <c r="AC598" s="41"/>
      <c r="AD598" s="22"/>
    </row>
    <row r="599" spans="18:30" x14ac:dyDescent="0.25">
      <c r="R599" s="22"/>
      <c r="S599" s="22"/>
      <c r="T599" s="331"/>
      <c r="U599" s="22"/>
      <c r="V599" s="22"/>
      <c r="W599" s="22"/>
      <c r="X599" s="22"/>
      <c r="Y599" s="22"/>
      <c r="Z599" s="22"/>
      <c r="AA599" s="22"/>
      <c r="AB599" s="22"/>
      <c r="AC599" s="41"/>
      <c r="AD599" s="22"/>
    </row>
    <row r="600" spans="18:30" x14ac:dyDescent="0.25">
      <c r="R600" s="22"/>
      <c r="S600" s="22"/>
      <c r="T600" s="331"/>
      <c r="U600" s="22"/>
      <c r="V600" s="22"/>
      <c r="W600" s="22"/>
      <c r="X600" s="22"/>
      <c r="Y600" s="22"/>
      <c r="Z600" s="22"/>
      <c r="AA600" s="22"/>
      <c r="AB600" s="22"/>
      <c r="AC600" s="41"/>
      <c r="AD600" s="22"/>
    </row>
    <row r="601" spans="18:30" x14ac:dyDescent="0.25">
      <c r="R601" s="22"/>
      <c r="S601" s="22"/>
      <c r="T601" s="331"/>
      <c r="U601" s="22"/>
      <c r="V601" s="22"/>
      <c r="W601" s="22"/>
      <c r="X601" s="22"/>
      <c r="Y601" s="22"/>
      <c r="Z601" s="22"/>
      <c r="AA601" s="22"/>
      <c r="AB601" s="22"/>
      <c r="AC601" s="41"/>
      <c r="AD601" s="22"/>
    </row>
    <row r="602" spans="18:30" x14ac:dyDescent="0.25">
      <c r="R602" s="22"/>
      <c r="S602" s="22"/>
      <c r="T602" s="331"/>
      <c r="U602" s="22"/>
      <c r="V602" s="22"/>
      <c r="W602" s="22"/>
      <c r="X602" s="22"/>
      <c r="Y602" s="22"/>
      <c r="Z602" s="22"/>
      <c r="AA602" s="22"/>
      <c r="AB602" s="22"/>
      <c r="AC602" s="41"/>
      <c r="AD602" s="22"/>
    </row>
    <row r="603" spans="18:30" x14ac:dyDescent="0.25">
      <c r="R603" s="22"/>
      <c r="S603" s="22"/>
      <c r="T603" s="331"/>
      <c r="U603" s="22"/>
      <c r="V603" s="22"/>
      <c r="W603" s="22"/>
      <c r="X603" s="22"/>
      <c r="Y603" s="22"/>
      <c r="Z603" s="22"/>
      <c r="AA603" s="22"/>
      <c r="AB603" s="22"/>
      <c r="AC603" s="41"/>
      <c r="AD603" s="22"/>
    </row>
    <row r="604" spans="18:30" x14ac:dyDescent="0.25">
      <c r="R604" s="22"/>
      <c r="S604" s="22"/>
      <c r="T604" s="331"/>
      <c r="U604" s="22"/>
      <c r="V604" s="22"/>
      <c r="W604" s="22"/>
      <c r="X604" s="22"/>
      <c r="Y604" s="22"/>
      <c r="Z604" s="22"/>
      <c r="AA604" s="22"/>
      <c r="AB604" s="22"/>
      <c r="AC604" s="41"/>
      <c r="AD604" s="22"/>
    </row>
    <row r="605" spans="18:30" x14ac:dyDescent="0.25">
      <c r="R605" s="22"/>
      <c r="S605" s="22"/>
      <c r="T605" s="331"/>
      <c r="U605" s="22"/>
      <c r="V605" s="22"/>
      <c r="W605" s="22"/>
      <c r="X605" s="22"/>
      <c r="Y605" s="22"/>
      <c r="Z605" s="22"/>
      <c r="AA605" s="22"/>
      <c r="AB605" s="22"/>
      <c r="AC605" s="41"/>
      <c r="AD605" s="22"/>
    </row>
    <row r="606" spans="18:30" x14ac:dyDescent="0.25">
      <c r="R606" s="22"/>
      <c r="S606" s="22"/>
      <c r="T606" s="331"/>
      <c r="U606" s="22"/>
      <c r="V606" s="22"/>
      <c r="W606" s="22"/>
      <c r="X606" s="22"/>
      <c r="Y606" s="22"/>
      <c r="Z606" s="22"/>
      <c r="AA606" s="22"/>
      <c r="AB606" s="22"/>
      <c r="AC606" s="41"/>
      <c r="AD606" s="22"/>
    </row>
    <row r="607" spans="18:30" x14ac:dyDescent="0.25">
      <c r="R607" s="22"/>
      <c r="S607" s="22"/>
      <c r="T607" s="331"/>
      <c r="U607" s="22"/>
      <c r="V607" s="22"/>
      <c r="W607" s="22"/>
      <c r="X607" s="22"/>
      <c r="Y607" s="22"/>
      <c r="Z607" s="22"/>
      <c r="AA607" s="22"/>
      <c r="AB607" s="22"/>
      <c r="AC607" s="41"/>
      <c r="AD607" s="22"/>
    </row>
    <row r="608" spans="18:30" x14ac:dyDescent="0.25">
      <c r="R608" s="22"/>
      <c r="S608" s="22"/>
      <c r="T608" s="331"/>
      <c r="U608" s="22"/>
      <c r="V608" s="22"/>
      <c r="W608" s="22"/>
      <c r="X608" s="22"/>
      <c r="Y608" s="22"/>
      <c r="Z608" s="22"/>
      <c r="AA608" s="22"/>
      <c r="AB608" s="22"/>
      <c r="AC608" s="41"/>
      <c r="AD608" s="22"/>
    </row>
    <row r="609" spans="18:30" x14ac:dyDescent="0.25">
      <c r="R609" s="22"/>
      <c r="S609" s="22"/>
      <c r="T609" s="331"/>
      <c r="U609" s="22"/>
      <c r="V609" s="22"/>
      <c r="W609" s="22"/>
      <c r="X609" s="22"/>
      <c r="Y609" s="22"/>
      <c r="Z609" s="22"/>
      <c r="AA609" s="22"/>
      <c r="AB609" s="22"/>
      <c r="AC609" s="41"/>
      <c r="AD609" s="22"/>
    </row>
    <row r="610" spans="18:30" x14ac:dyDescent="0.25">
      <c r="R610" s="22"/>
      <c r="S610" s="22"/>
      <c r="T610" s="331"/>
      <c r="U610" s="22"/>
      <c r="V610" s="22"/>
      <c r="W610" s="22"/>
      <c r="X610" s="22"/>
      <c r="Y610" s="22"/>
      <c r="Z610" s="22"/>
      <c r="AA610" s="22"/>
      <c r="AB610" s="22"/>
      <c r="AC610" s="41"/>
      <c r="AD610" s="22"/>
    </row>
    <row r="611" spans="18:30" x14ac:dyDescent="0.25">
      <c r="R611" s="22"/>
      <c r="S611" s="22"/>
      <c r="T611" s="331"/>
      <c r="U611" s="22"/>
      <c r="V611" s="22"/>
      <c r="W611" s="22"/>
      <c r="X611" s="22"/>
      <c r="Y611" s="22"/>
      <c r="Z611" s="22"/>
      <c r="AA611" s="22"/>
      <c r="AB611" s="22"/>
      <c r="AC611" s="41"/>
      <c r="AD611" s="22"/>
    </row>
    <row r="612" spans="18:30" x14ac:dyDescent="0.25">
      <c r="R612" s="22"/>
      <c r="S612" s="22"/>
      <c r="T612" s="331"/>
      <c r="U612" s="22"/>
      <c r="V612" s="22"/>
      <c r="W612" s="22"/>
      <c r="X612" s="22"/>
      <c r="Y612" s="22"/>
      <c r="Z612" s="22"/>
      <c r="AA612" s="22"/>
      <c r="AB612" s="22"/>
      <c r="AC612" s="41"/>
      <c r="AD612" s="22"/>
    </row>
    <row r="613" spans="18:30" x14ac:dyDescent="0.25">
      <c r="R613" s="22"/>
      <c r="S613" s="22"/>
      <c r="T613" s="331"/>
      <c r="U613" s="22"/>
      <c r="V613" s="22"/>
      <c r="W613" s="22"/>
      <c r="X613" s="22"/>
      <c r="Y613" s="22"/>
      <c r="Z613" s="22"/>
      <c r="AA613" s="22"/>
      <c r="AB613" s="22"/>
      <c r="AC613" s="41"/>
      <c r="AD613" s="22"/>
    </row>
    <row r="614" spans="18:30" x14ac:dyDescent="0.25">
      <c r="R614" s="22"/>
      <c r="S614" s="22"/>
      <c r="T614" s="331"/>
      <c r="U614" s="22"/>
      <c r="V614" s="22"/>
      <c r="W614" s="22"/>
      <c r="X614" s="22"/>
      <c r="Y614" s="22"/>
      <c r="Z614" s="22"/>
      <c r="AA614" s="22"/>
      <c r="AB614" s="22"/>
      <c r="AC614" s="41"/>
      <c r="AD614" s="22"/>
    </row>
    <row r="615" spans="18:30" x14ac:dyDescent="0.25">
      <c r="R615" s="22"/>
      <c r="S615" s="22"/>
      <c r="T615" s="331"/>
      <c r="U615" s="22"/>
      <c r="V615" s="22"/>
      <c r="W615" s="22"/>
      <c r="X615" s="22"/>
      <c r="Y615" s="22"/>
      <c r="Z615" s="22"/>
      <c r="AA615" s="22"/>
      <c r="AB615" s="22"/>
      <c r="AC615" s="41"/>
      <c r="AD615" s="22"/>
    </row>
    <row r="616" spans="18:30" x14ac:dyDescent="0.25">
      <c r="R616" s="22"/>
      <c r="S616" s="22"/>
      <c r="T616" s="331"/>
      <c r="U616" s="22"/>
      <c r="V616" s="22"/>
      <c r="W616" s="22"/>
      <c r="X616" s="22"/>
      <c r="Y616" s="22"/>
      <c r="Z616" s="22"/>
      <c r="AA616" s="22"/>
      <c r="AB616" s="22"/>
      <c r="AC616" s="41"/>
      <c r="AD616" s="22"/>
    </row>
    <row r="617" spans="18:30" x14ac:dyDescent="0.25">
      <c r="R617" s="22"/>
      <c r="S617" s="22"/>
      <c r="T617" s="331"/>
      <c r="U617" s="22"/>
      <c r="V617" s="22"/>
      <c r="W617" s="22"/>
      <c r="X617" s="22"/>
      <c r="Y617" s="22"/>
      <c r="Z617" s="22"/>
      <c r="AA617" s="22"/>
      <c r="AB617" s="22"/>
      <c r="AC617" s="41"/>
      <c r="AD617" s="22"/>
    </row>
    <row r="618" spans="18:30" x14ac:dyDescent="0.25">
      <c r="R618" s="22"/>
      <c r="S618" s="22"/>
      <c r="T618" s="331"/>
      <c r="U618" s="22"/>
      <c r="V618" s="22"/>
      <c r="W618" s="22"/>
      <c r="X618" s="22"/>
      <c r="Y618" s="22"/>
      <c r="Z618" s="22"/>
      <c r="AA618" s="22"/>
      <c r="AB618" s="22"/>
      <c r="AC618" s="41"/>
      <c r="AD618" s="22"/>
    </row>
    <row r="619" spans="18:30" x14ac:dyDescent="0.25">
      <c r="R619" s="22"/>
      <c r="S619" s="22"/>
      <c r="T619" s="331"/>
      <c r="U619" s="22"/>
      <c r="V619" s="22"/>
      <c r="W619" s="22"/>
      <c r="X619" s="22"/>
      <c r="Y619" s="22"/>
      <c r="Z619" s="22"/>
      <c r="AA619" s="22"/>
      <c r="AB619" s="22"/>
      <c r="AC619" s="41"/>
      <c r="AD619" s="22"/>
    </row>
    <row r="620" spans="18:30" x14ac:dyDescent="0.25">
      <c r="R620" s="22"/>
      <c r="S620" s="22"/>
      <c r="T620" s="331"/>
      <c r="U620" s="22"/>
      <c r="V620" s="22"/>
      <c r="W620" s="22"/>
      <c r="X620" s="22"/>
      <c r="Y620" s="22"/>
      <c r="Z620" s="22"/>
      <c r="AA620" s="22"/>
      <c r="AB620" s="22"/>
      <c r="AC620" s="41"/>
      <c r="AD620" s="22"/>
    </row>
    <row r="621" spans="18:30" x14ac:dyDescent="0.25">
      <c r="R621" s="22"/>
      <c r="S621" s="22"/>
      <c r="T621" s="331"/>
      <c r="U621" s="22"/>
      <c r="V621" s="22"/>
      <c r="W621" s="22"/>
      <c r="X621" s="22"/>
      <c r="Y621" s="22"/>
      <c r="Z621" s="22"/>
      <c r="AA621" s="22"/>
      <c r="AB621" s="22"/>
      <c r="AC621" s="41"/>
      <c r="AD621" s="22"/>
    </row>
    <row r="622" spans="18:30" x14ac:dyDescent="0.25">
      <c r="R622" s="22"/>
      <c r="S622" s="22"/>
      <c r="T622" s="331"/>
      <c r="U622" s="22"/>
      <c r="V622" s="22"/>
      <c r="W622" s="22"/>
      <c r="X622" s="22"/>
      <c r="Y622" s="22"/>
      <c r="Z622" s="22"/>
      <c r="AA622" s="22"/>
      <c r="AB622" s="22"/>
      <c r="AC622" s="41"/>
      <c r="AD622" s="22"/>
    </row>
    <row r="623" spans="18:30" x14ac:dyDescent="0.25">
      <c r="R623" s="22"/>
      <c r="S623" s="22"/>
      <c r="T623" s="331"/>
      <c r="U623" s="22"/>
      <c r="V623" s="22"/>
      <c r="W623" s="22"/>
      <c r="X623" s="22"/>
      <c r="Y623" s="22"/>
      <c r="Z623" s="22"/>
      <c r="AA623" s="22"/>
      <c r="AB623" s="22"/>
      <c r="AC623" s="41"/>
      <c r="AD623" s="22"/>
    </row>
    <row r="624" spans="18:30" x14ac:dyDescent="0.25">
      <c r="R624" s="22"/>
      <c r="S624" s="22"/>
      <c r="T624" s="331"/>
      <c r="U624" s="22"/>
      <c r="V624" s="22"/>
      <c r="W624" s="22"/>
      <c r="X624" s="22"/>
      <c r="Y624" s="22"/>
      <c r="Z624" s="22"/>
      <c r="AA624" s="22"/>
      <c r="AB624" s="22"/>
      <c r="AC624" s="41"/>
      <c r="AD624" s="22"/>
    </row>
    <row r="625" spans="18:30" x14ac:dyDescent="0.25">
      <c r="R625" s="22"/>
      <c r="S625" s="22"/>
      <c r="T625" s="331"/>
      <c r="U625" s="22"/>
      <c r="V625" s="22"/>
      <c r="W625" s="22"/>
      <c r="X625" s="22"/>
      <c r="Y625" s="22"/>
      <c r="Z625" s="22"/>
      <c r="AA625" s="22"/>
      <c r="AB625" s="22"/>
      <c r="AC625" s="41"/>
      <c r="AD625" s="22"/>
    </row>
    <row r="626" spans="18:30" x14ac:dyDescent="0.25">
      <c r="R626" s="22"/>
      <c r="S626" s="22"/>
      <c r="T626" s="331"/>
      <c r="U626" s="22"/>
      <c r="V626" s="22"/>
      <c r="W626" s="22"/>
      <c r="X626" s="22"/>
      <c r="Y626" s="22"/>
      <c r="Z626" s="22"/>
      <c r="AA626" s="22"/>
      <c r="AB626" s="22"/>
      <c r="AC626" s="41"/>
      <c r="AD626" s="22"/>
    </row>
    <row r="627" spans="18:30" x14ac:dyDescent="0.25">
      <c r="R627" s="22"/>
      <c r="S627" s="22"/>
      <c r="T627" s="331"/>
      <c r="U627" s="22"/>
      <c r="V627" s="22"/>
      <c r="W627" s="22"/>
      <c r="X627" s="22"/>
      <c r="Y627" s="22"/>
      <c r="Z627" s="22"/>
      <c r="AA627" s="22"/>
      <c r="AB627" s="22"/>
      <c r="AC627" s="41"/>
      <c r="AD627" s="22"/>
    </row>
    <row r="628" spans="18:30" x14ac:dyDescent="0.25">
      <c r="R628" s="22"/>
      <c r="S628" s="22"/>
      <c r="T628" s="331"/>
      <c r="U628" s="22"/>
      <c r="V628" s="22"/>
      <c r="W628" s="22"/>
      <c r="X628" s="22"/>
      <c r="Y628" s="22"/>
      <c r="Z628" s="22"/>
      <c r="AA628" s="22"/>
      <c r="AB628" s="22"/>
      <c r="AC628" s="41"/>
      <c r="AD628" s="22"/>
    </row>
    <row r="629" spans="18:30" x14ac:dyDescent="0.25">
      <c r="R629" s="22"/>
      <c r="S629" s="22"/>
      <c r="T629" s="331"/>
      <c r="U629" s="22"/>
      <c r="V629" s="22"/>
      <c r="W629" s="22"/>
      <c r="X629" s="22"/>
      <c r="Y629" s="22"/>
      <c r="Z629" s="22"/>
      <c r="AA629" s="22"/>
      <c r="AB629" s="22"/>
      <c r="AC629" s="41"/>
      <c r="AD629" s="22"/>
    </row>
    <row r="630" spans="18:30" x14ac:dyDescent="0.25">
      <c r="R630" s="22"/>
      <c r="S630" s="22"/>
      <c r="T630" s="331"/>
      <c r="U630" s="22"/>
      <c r="V630" s="22"/>
      <c r="W630" s="22"/>
      <c r="X630" s="22"/>
      <c r="Y630" s="22"/>
      <c r="Z630" s="22"/>
      <c r="AA630" s="22"/>
      <c r="AB630" s="22"/>
      <c r="AC630" s="41"/>
      <c r="AD630" s="22"/>
    </row>
    <row r="631" spans="18:30" x14ac:dyDescent="0.25">
      <c r="R631" s="22"/>
      <c r="S631" s="22"/>
      <c r="T631" s="331"/>
      <c r="U631" s="22"/>
      <c r="V631" s="22"/>
      <c r="W631" s="22"/>
      <c r="X631" s="22"/>
      <c r="Y631" s="22"/>
      <c r="Z631" s="22"/>
      <c r="AA631" s="22"/>
      <c r="AB631" s="22"/>
      <c r="AC631" s="41"/>
      <c r="AD631" s="22"/>
    </row>
    <row r="632" spans="18:30" x14ac:dyDescent="0.25">
      <c r="R632" s="22"/>
      <c r="S632" s="22"/>
      <c r="T632" s="331"/>
      <c r="U632" s="22"/>
      <c r="V632" s="22"/>
      <c r="W632" s="22"/>
      <c r="X632" s="22"/>
      <c r="Y632" s="22"/>
      <c r="Z632" s="22"/>
      <c r="AA632" s="22"/>
      <c r="AB632" s="22"/>
      <c r="AC632" s="41"/>
      <c r="AD632" s="22"/>
    </row>
    <row r="633" spans="18:30" x14ac:dyDescent="0.25">
      <c r="R633" s="22"/>
      <c r="S633" s="22"/>
      <c r="T633" s="331"/>
      <c r="U633" s="22"/>
      <c r="V633" s="22"/>
      <c r="W633" s="22"/>
      <c r="X633" s="22"/>
      <c r="Y633" s="22"/>
      <c r="Z633" s="22"/>
      <c r="AA633" s="22"/>
      <c r="AB633" s="22"/>
      <c r="AC633" s="41"/>
      <c r="AD633" s="22"/>
    </row>
    <row r="634" spans="18:30" x14ac:dyDescent="0.25">
      <c r="R634" s="22"/>
      <c r="S634" s="22"/>
      <c r="T634" s="331"/>
      <c r="U634" s="22"/>
      <c r="V634" s="22"/>
      <c r="W634" s="22"/>
      <c r="X634" s="22"/>
      <c r="Y634" s="22"/>
      <c r="Z634" s="22"/>
      <c r="AA634" s="22"/>
      <c r="AB634" s="22"/>
      <c r="AC634" s="41"/>
      <c r="AD634" s="22"/>
    </row>
    <row r="635" spans="18:30" x14ac:dyDescent="0.25">
      <c r="R635" s="22"/>
      <c r="S635" s="22"/>
      <c r="T635" s="331"/>
      <c r="U635" s="22"/>
      <c r="V635" s="22"/>
      <c r="W635" s="22"/>
      <c r="X635" s="22"/>
      <c r="Y635" s="22"/>
      <c r="Z635" s="22"/>
      <c r="AA635" s="22"/>
      <c r="AB635" s="22"/>
      <c r="AC635" s="41"/>
      <c r="AD635" s="22"/>
    </row>
    <row r="636" spans="18:30" x14ac:dyDescent="0.25">
      <c r="R636" s="22"/>
      <c r="S636" s="22"/>
      <c r="T636" s="331"/>
      <c r="U636" s="22"/>
      <c r="V636" s="22"/>
      <c r="W636" s="22"/>
      <c r="X636" s="22"/>
      <c r="Y636" s="22"/>
      <c r="Z636" s="22"/>
      <c r="AA636" s="22"/>
      <c r="AB636" s="22"/>
      <c r="AC636" s="41"/>
      <c r="AD636" s="22"/>
    </row>
    <row r="637" spans="18:30" x14ac:dyDescent="0.25">
      <c r="R637" s="22"/>
      <c r="S637" s="22"/>
      <c r="T637" s="331"/>
      <c r="U637" s="22"/>
      <c r="V637" s="22"/>
      <c r="W637" s="22"/>
      <c r="X637" s="22"/>
      <c r="Y637" s="22"/>
      <c r="Z637" s="22"/>
      <c r="AA637" s="22"/>
      <c r="AB637" s="22"/>
      <c r="AC637" s="41"/>
      <c r="AD637" s="22"/>
    </row>
    <row r="638" spans="18:30" x14ac:dyDescent="0.25">
      <c r="R638" s="22"/>
      <c r="S638" s="22"/>
      <c r="T638" s="331"/>
      <c r="U638" s="22"/>
      <c r="V638" s="22"/>
      <c r="W638" s="22"/>
      <c r="X638" s="22"/>
      <c r="Y638" s="22"/>
      <c r="Z638" s="22"/>
      <c r="AA638" s="22"/>
      <c r="AB638" s="22"/>
      <c r="AC638" s="41"/>
      <c r="AD638" s="22"/>
    </row>
    <row r="639" spans="18:30" x14ac:dyDescent="0.25">
      <c r="R639" s="22"/>
      <c r="S639" s="22"/>
      <c r="T639" s="331"/>
      <c r="U639" s="22"/>
      <c r="V639" s="22"/>
      <c r="W639" s="22"/>
      <c r="X639" s="22"/>
      <c r="Y639" s="22"/>
      <c r="Z639" s="22"/>
      <c r="AA639" s="22"/>
      <c r="AB639" s="22"/>
      <c r="AC639" s="41"/>
      <c r="AD639" s="22"/>
    </row>
    <row r="640" spans="18:30" x14ac:dyDescent="0.25">
      <c r="R640" s="22"/>
      <c r="S640" s="22"/>
      <c r="T640" s="331"/>
      <c r="U640" s="22"/>
      <c r="V640" s="22"/>
      <c r="W640" s="22"/>
      <c r="X640" s="22"/>
      <c r="Y640" s="22"/>
      <c r="Z640" s="22"/>
      <c r="AA640" s="22"/>
      <c r="AB640" s="22"/>
      <c r="AC640" s="41"/>
      <c r="AD640" s="22"/>
    </row>
    <row r="641" spans="18:30" x14ac:dyDescent="0.25">
      <c r="R641" s="22"/>
      <c r="S641" s="22"/>
      <c r="T641" s="331"/>
      <c r="U641" s="22"/>
      <c r="V641" s="22"/>
      <c r="W641" s="22"/>
      <c r="X641" s="22"/>
      <c r="Y641" s="22"/>
      <c r="Z641" s="22"/>
      <c r="AA641" s="22"/>
      <c r="AB641" s="22"/>
      <c r="AC641" s="41"/>
      <c r="AD641" s="22"/>
    </row>
    <row r="642" spans="18:30" x14ac:dyDescent="0.25">
      <c r="R642" s="22"/>
      <c r="S642" s="22"/>
      <c r="T642" s="331"/>
      <c r="U642" s="22"/>
      <c r="V642" s="22"/>
      <c r="W642" s="22"/>
      <c r="X642" s="22"/>
      <c r="Y642" s="22"/>
      <c r="Z642" s="22"/>
      <c r="AA642" s="22"/>
      <c r="AB642" s="22"/>
      <c r="AC642" s="41"/>
      <c r="AD642" s="22"/>
    </row>
    <row r="643" spans="18:30" x14ac:dyDescent="0.25">
      <c r="R643" s="22"/>
      <c r="S643" s="22"/>
      <c r="T643" s="331"/>
      <c r="U643" s="22"/>
      <c r="V643" s="22"/>
      <c r="W643" s="22"/>
      <c r="X643" s="22"/>
      <c r="Y643" s="22"/>
      <c r="Z643" s="22"/>
      <c r="AA643" s="22"/>
      <c r="AB643" s="22"/>
      <c r="AC643" s="41"/>
      <c r="AD643" s="22"/>
    </row>
    <row r="644" spans="18:30" x14ac:dyDescent="0.25">
      <c r="R644" s="22"/>
      <c r="S644" s="22"/>
      <c r="T644" s="331"/>
      <c r="U644" s="22"/>
      <c r="V644" s="22"/>
      <c r="W644" s="22"/>
      <c r="X644" s="22"/>
      <c r="Y644" s="22"/>
      <c r="Z644" s="22"/>
      <c r="AA644" s="22"/>
      <c r="AB644" s="22"/>
      <c r="AC644" s="41"/>
      <c r="AD644" s="22"/>
    </row>
    <row r="645" spans="18:30" x14ac:dyDescent="0.25">
      <c r="R645" s="22"/>
      <c r="S645" s="22"/>
      <c r="T645" s="331"/>
      <c r="U645" s="22"/>
      <c r="V645" s="22"/>
      <c r="W645" s="22"/>
      <c r="X645" s="22"/>
      <c r="Y645" s="22"/>
      <c r="Z645" s="22"/>
      <c r="AA645" s="22"/>
      <c r="AB645" s="22"/>
      <c r="AC645" s="41"/>
      <c r="AD645" s="22"/>
    </row>
    <row r="646" spans="18:30" x14ac:dyDescent="0.25">
      <c r="R646" s="22"/>
      <c r="S646" s="22"/>
      <c r="T646" s="331"/>
      <c r="U646" s="22"/>
      <c r="V646" s="22"/>
      <c r="W646" s="22"/>
      <c r="X646" s="22"/>
      <c r="Y646" s="22"/>
      <c r="Z646" s="22"/>
      <c r="AA646" s="22"/>
      <c r="AB646" s="22"/>
      <c r="AC646" s="41"/>
      <c r="AD646" s="22"/>
    </row>
    <row r="647" spans="18:30" x14ac:dyDescent="0.25">
      <c r="R647" s="22"/>
      <c r="S647" s="22"/>
      <c r="T647" s="331"/>
      <c r="U647" s="22"/>
      <c r="V647" s="22"/>
      <c r="W647" s="22"/>
      <c r="X647" s="22"/>
      <c r="Y647" s="22"/>
      <c r="Z647" s="22"/>
      <c r="AA647" s="22"/>
      <c r="AB647" s="22"/>
      <c r="AC647" s="41"/>
      <c r="AD647" s="22"/>
    </row>
    <row r="648" spans="18:30" x14ac:dyDescent="0.25">
      <c r="R648" s="22"/>
      <c r="S648" s="22"/>
      <c r="T648" s="331"/>
      <c r="U648" s="22"/>
      <c r="V648" s="22"/>
      <c r="W648" s="22"/>
      <c r="X648" s="22"/>
      <c r="Y648" s="22"/>
      <c r="Z648" s="22"/>
      <c r="AA648" s="22"/>
      <c r="AB648" s="22"/>
      <c r="AC648" s="41"/>
      <c r="AD648" s="22"/>
    </row>
    <row r="649" spans="18:30" x14ac:dyDescent="0.25">
      <c r="R649" s="22"/>
      <c r="S649" s="22"/>
      <c r="T649" s="331"/>
      <c r="U649" s="22"/>
      <c r="V649" s="22"/>
      <c r="W649" s="22"/>
      <c r="X649" s="22"/>
      <c r="Y649" s="22"/>
      <c r="Z649" s="22"/>
      <c r="AA649" s="22"/>
      <c r="AB649" s="22"/>
      <c r="AC649" s="41"/>
      <c r="AD649" s="22"/>
    </row>
    <row r="650" spans="18:30" x14ac:dyDescent="0.25">
      <c r="R650" s="22"/>
      <c r="S650" s="22"/>
      <c r="T650" s="331"/>
      <c r="U650" s="22"/>
      <c r="V650" s="22"/>
      <c r="W650" s="22"/>
      <c r="X650" s="22"/>
      <c r="Y650" s="22"/>
      <c r="Z650" s="22"/>
      <c r="AA650" s="22"/>
      <c r="AB650" s="22"/>
      <c r="AC650" s="41"/>
      <c r="AD650" s="22"/>
    </row>
    <row r="651" spans="18:30" x14ac:dyDescent="0.25">
      <c r="R651" s="22"/>
      <c r="S651" s="22"/>
      <c r="T651" s="331"/>
      <c r="U651" s="22"/>
      <c r="V651" s="22"/>
      <c r="W651" s="22"/>
      <c r="X651" s="22"/>
      <c r="Y651" s="22"/>
      <c r="Z651" s="22"/>
      <c r="AA651" s="22"/>
      <c r="AB651" s="22"/>
      <c r="AC651" s="41"/>
      <c r="AD651" s="22"/>
    </row>
    <row r="652" spans="18:30" x14ac:dyDescent="0.25">
      <c r="R652" s="22"/>
      <c r="S652" s="22"/>
      <c r="T652" s="331"/>
      <c r="U652" s="22"/>
      <c r="V652" s="22"/>
      <c r="W652" s="22"/>
      <c r="X652" s="22"/>
      <c r="Y652" s="22"/>
      <c r="Z652" s="22"/>
      <c r="AA652" s="22"/>
      <c r="AB652" s="22"/>
      <c r="AC652" s="41"/>
      <c r="AD652" s="22"/>
    </row>
    <row r="653" spans="18:30" x14ac:dyDescent="0.25">
      <c r="R653" s="22"/>
      <c r="S653" s="22"/>
      <c r="T653" s="331"/>
      <c r="U653" s="22"/>
      <c r="V653" s="22"/>
      <c r="W653" s="22"/>
      <c r="X653" s="22"/>
      <c r="Y653" s="22"/>
      <c r="Z653" s="22"/>
      <c r="AA653" s="22"/>
      <c r="AB653" s="22"/>
      <c r="AC653" s="41"/>
      <c r="AD653" s="22"/>
    </row>
    <row r="654" spans="18:30" x14ac:dyDescent="0.25">
      <c r="R654" s="22"/>
      <c r="S654" s="22"/>
      <c r="T654" s="331"/>
      <c r="U654" s="22"/>
      <c r="V654" s="22"/>
      <c r="W654" s="22"/>
      <c r="X654" s="22"/>
      <c r="Y654" s="22"/>
      <c r="Z654" s="22"/>
      <c r="AA654" s="22"/>
      <c r="AB654" s="22"/>
      <c r="AC654" s="41"/>
      <c r="AD654" s="22"/>
    </row>
    <row r="655" spans="18:30" x14ac:dyDescent="0.25">
      <c r="R655" s="22"/>
      <c r="S655" s="22"/>
      <c r="T655" s="331"/>
      <c r="U655" s="22"/>
      <c r="V655" s="22"/>
      <c r="W655" s="22"/>
      <c r="X655" s="22"/>
      <c r="Y655" s="22"/>
      <c r="Z655" s="22"/>
      <c r="AA655" s="22"/>
      <c r="AB655" s="22"/>
      <c r="AC655" s="41"/>
      <c r="AD655" s="22"/>
    </row>
    <row r="656" spans="18:30" x14ac:dyDescent="0.25">
      <c r="R656" s="22"/>
      <c r="S656" s="22"/>
      <c r="T656" s="331"/>
      <c r="U656" s="22"/>
      <c r="V656" s="22"/>
      <c r="W656" s="22"/>
      <c r="X656" s="22"/>
      <c r="Y656" s="22"/>
      <c r="Z656" s="22"/>
      <c r="AA656" s="22"/>
      <c r="AB656" s="22"/>
      <c r="AC656" s="41"/>
      <c r="AD656" s="22"/>
    </row>
    <row r="657" spans="18:30" x14ac:dyDescent="0.25">
      <c r="R657" s="22"/>
      <c r="S657" s="22"/>
      <c r="T657" s="331"/>
      <c r="U657" s="22"/>
      <c r="V657" s="22"/>
      <c r="W657" s="22"/>
      <c r="X657" s="22"/>
      <c r="Y657" s="22"/>
      <c r="Z657" s="22"/>
      <c r="AA657" s="22"/>
      <c r="AB657" s="22"/>
      <c r="AC657" s="41"/>
      <c r="AD657" s="22"/>
    </row>
    <row r="658" spans="18:30" x14ac:dyDescent="0.25">
      <c r="R658" s="22"/>
      <c r="S658" s="22"/>
      <c r="T658" s="331"/>
      <c r="U658" s="22"/>
      <c r="V658" s="22"/>
      <c r="W658" s="22"/>
      <c r="X658" s="22"/>
      <c r="Y658" s="22"/>
      <c r="Z658" s="22"/>
      <c r="AA658" s="22"/>
      <c r="AB658" s="22"/>
      <c r="AC658" s="41"/>
      <c r="AD658" s="22"/>
    </row>
    <row r="659" spans="18:30" x14ac:dyDescent="0.25">
      <c r="R659" s="22"/>
      <c r="S659" s="22"/>
      <c r="T659" s="331"/>
      <c r="U659" s="22"/>
      <c r="V659" s="22"/>
      <c r="W659" s="22"/>
      <c r="X659" s="22"/>
      <c r="Y659" s="22"/>
      <c r="Z659" s="22"/>
      <c r="AA659" s="22"/>
      <c r="AB659" s="22"/>
      <c r="AC659" s="41"/>
      <c r="AD659" s="22"/>
    </row>
    <row r="660" spans="18:30" x14ac:dyDescent="0.25">
      <c r="R660" s="22"/>
      <c r="S660" s="22"/>
      <c r="T660" s="331"/>
      <c r="U660" s="22"/>
      <c r="V660" s="22"/>
      <c r="W660" s="22"/>
      <c r="X660" s="22"/>
      <c r="Y660" s="22"/>
      <c r="Z660" s="22"/>
      <c r="AA660" s="22"/>
      <c r="AB660" s="22"/>
      <c r="AC660" s="41"/>
      <c r="AD660" s="22"/>
    </row>
    <row r="661" spans="18:30" x14ac:dyDescent="0.25">
      <c r="R661" s="22"/>
      <c r="S661" s="22"/>
      <c r="T661" s="331"/>
      <c r="U661" s="22"/>
      <c r="V661" s="22"/>
      <c r="W661" s="22"/>
      <c r="X661" s="22"/>
      <c r="Y661" s="22"/>
      <c r="Z661" s="22"/>
      <c r="AA661" s="22"/>
      <c r="AB661" s="22"/>
      <c r="AC661" s="41"/>
      <c r="AD661" s="22"/>
    </row>
    <row r="662" spans="18:30" x14ac:dyDescent="0.25">
      <c r="R662" s="22"/>
      <c r="S662" s="22"/>
      <c r="T662" s="331"/>
      <c r="U662" s="22"/>
      <c r="V662" s="22"/>
      <c r="W662" s="22"/>
      <c r="X662" s="22"/>
      <c r="Y662" s="22"/>
      <c r="Z662" s="22"/>
      <c r="AA662" s="22"/>
      <c r="AB662" s="22"/>
      <c r="AC662" s="41"/>
      <c r="AD662" s="22"/>
    </row>
    <row r="663" spans="18:30" x14ac:dyDescent="0.25">
      <c r="R663" s="22"/>
      <c r="S663" s="22"/>
      <c r="T663" s="331"/>
      <c r="U663" s="22"/>
      <c r="V663" s="22"/>
      <c r="W663" s="22"/>
      <c r="X663" s="22"/>
      <c r="Y663" s="22"/>
      <c r="Z663" s="22"/>
      <c r="AA663" s="22"/>
      <c r="AB663" s="22"/>
      <c r="AC663" s="41"/>
      <c r="AD663" s="22"/>
    </row>
    <row r="664" spans="18:30" x14ac:dyDescent="0.25">
      <c r="R664" s="22"/>
      <c r="S664" s="22"/>
      <c r="T664" s="331"/>
      <c r="U664" s="22"/>
      <c r="V664" s="22"/>
      <c r="W664" s="22"/>
      <c r="X664" s="22"/>
      <c r="Y664" s="22"/>
      <c r="Z664" s="22"/>
      <c r="AA664" s="22"/>
      <c r="AB664" s="22"/>
      <c r="AC664" s="41"/>
      <c r="AD664" s="22"/>
    </row>
    <row r="665" spans="18:30" x14ac:dyDescent="0.25">
      <c r="R665" s="22"/>
      <c r="S665" s="22"/>
      <c r="T665" s="331"/>
      <c r="U665" s="22"/>
      <c r="V665" s="22"/>
      <c r="W665" s="22"/>
      <c r="X665" s="22"/>
      <c r="Y665" s="22"/>
      <c r="Z665" s="22"/>
      <c r="AA665" s="22"/>
      <c r="AB665" s="22"/>
      <c r="AC665" s="41"/>
      <c r="AD665" s="22"/>
    </row>
    <row r="666" spans="18:30" x14ac:dyDescent="0.25">
      <c r="R666" s="22"/>
      <c r="S666" s="22"/>
      <c r="T666" s="331"/>
      <c r="U666" s="22"/>
      <c r="V666" s="22"/>
      <c r="W666" s="22"/>
      <c r="X666" s="22"/>
      <c r="Y666" s="22"/>
      <c r="Z666" s="22"/>
      <c r="AA666" s="22"/>
      <c r="AB666" s="22"/>
      <c r="AC666" s="41"/>
      <c r="AD666" s="22"/>
    </row>
    <row r="667" spans="18:30" x14ac:dyDescent="0.25">
      <c r="R667" s="22"/>
      <c r="S667" s="22"/>
      <c r="T667" s="331"/>
      <c r="U667" s="22"/>
      <c r="V667" s="22"/>
      <c r="W667" s="22"/>
      <c r="X667" s="22"/>
      <c r="Y667" s="22"/>
      <c r="Z667" s="22"/>
      <c r="AA667" s="22"/>
      <c r="AB667" s="22"/>
      <c r="AC667" s="41"/>
      <c r="AD667" s="22"/>
    </row>
    <row r="668" spans="18:30" x14ac:dyDescent="0.25">
      <c r="R668" s="22"/>
      <c r="S668" s="22"/>
      <c r="T668" s="331"/>
      <c r="U668" s="22"/>
      <c r="V668" s="22"/>
      <c r="W668" s="22"/>
      <c r="X668" s="22"/>
      <c r="Y668" s="22"/>
      <c r="Z668" s="22"/>
      <c r="AA668" s="22"/>
      <c r="AB668" s="22"/>
      <c r="AC668" s="41"/>
      <c r="AD668" s="22"/>
    </row>
    <row r="669" spans="18:30" x14ac:dyDescent="0.25">
      <c r="R669" s="22"/>
      <c r="S669" s="22"/>
      <c r="T669" s="331"/>
      <c r="U669" s="22"/>
      <c r="V669" s="22"/>
      <c r="W669" s="22"/>
      <c r="X669" s="22"/>
      <c r="Y669" s="22"/>
      <c r="Z669" s="22"/>
      <c r="AA669" s="22"/>
      <c r="AB669" s="22"/>
      <c r="AC669" s="41"/>
      <c r="AD669" s="22"/>
    </row>
    <row r="670" spans="18:30" x14ac:dyDescent="0.25">
      <c r="R670" s="22"/>
      <c r="S670" s="22"/>
      <c r="T670" s="331"/>
      <c r="U670" s="22"/>
      <c r="V670" s="22"/>
      <c r="W670" s="22"/>
      <c r="X670" s="22"/>
      <c r="Y670" s="22"/>
      <c r="Z670" s="22"/>
      <c r="AA670" s="22"/>
      <c r="AB670" s="22"/>
      <c r="AC670" s="41"/>
      <c r="AD670" s="22"/>
    </row>
    <row r="671" spans="18:30" x14ac:dyDescent="0.25">
      <c r="R671" s="22"/>
      <c r="S671" s="22"/>
      <c r="T671" s="331"/>
      <c r="U671" s="22"/>
      <c r="V671" s="22"/>
      <c r="W671" s="22"/>
      <c r="X671" s="22"/>
      <c r="Y671" s="22"/>
      <c r="Z671" s="22"/>
      <c r="AA671" s="22"/>
      <c r="AB671" s="22"/>
      <c r="AC671" s="41"/>
      <c r="AD671" s="22"/>
    </row>
    <row r="672" spans="18:30" x14ac:dyDescent="0.25">
      <c r="R672" s="22"/>
      <c r="S672" s="22"/>
      <c r="T672" s="331"/>
      <c r="U672" s="22"/>
      <c r="V672" s="22"/>
      <c r="W672" s="22"/>
      <c r="X672" s="22"/>
      <c r="Y672" s="22"/>
      <c r="Z672" s="22"/>
      <c r="AA672" s="22"/>
      <c r="AB672" s="22"/>
      <c r="AC672" s="41"/>
      <c r="AD672" s="22"/>
    </row>
    <row r="673" spans="18:30" x14ac:dyDescent="0.25">
      <c r="R673" s="22"/>
      <c r="S673" s="22"/>
      <c r="T673" s="331"/>
      <c r="U673" s="22"/>
      <c r="V673" s="22"/>
      <c r="W673" s="22"/>
      <c r="X673" s="22"/>
      <c r="Y673" s="22"/>
      <c r="Z673" s="22"/>
      <c r="AA673" s="22"/>
      <c r="AB673" s="22"/>
      <c r="AC673" s="41"/>
      <c r="AD673" s="22"/>
    </row>
    <row r="674" spans="18:30" x14ac:dyDescent="0.25">
      <c r="R674" s="22"/>
      <c r="S674" s="22"/>
      <c r="T674" s="331"/>
      <c r="U674" s="22"/>
      <c r="V674" s="22"/>
      <c r="W674" s="22"/>
      <c r="X674" s="22"/>
      <c r="Y674" s="22"/>
      <c r="Z674" s="22"/>
      <c r="AA674" s="22"/>
      <c r="AB674" s="22"/>
      <c r="AC674" s="41"/>
      <c r="AD674" s="22"/>
    </row>
    <row r="675" spans="18:30" x14ac:dyDescent="0.25">
      <c r="R675" s="22"/>
      <c r="S675" s="22"/>
      <c r="T675" s="331"/>
      <c r="U675" s="22"/>
      <c r="V675" s="22"/>
      <c r="W675" s="22"/>
      <c r="X675" s="22"/>
      <c r="Y675" s="22"/>
      <c r="Z675" s="22"/>
      <c r="AA675" s="22"/>
      <c r="AB675" s="22"/>
      <c r="AC675" s="41"/>
      <c r="AD675" s="22"/>
    </row>
    <row r="676" spans="18:30" x14ac:dyDescent="0.25">
      <c r="R676" s="22"/>
      <c r="S676" s="22"/>
      <c r="T676" s="331"/>
      <c r="U676" s="22"/>
      <c r="V676" s="22"/>
      <c r="W676" s="22"/>
      <c r="X676" s="22"/>
      <c r="Y676" s="22"/>
      <c r="Z676" s="22"/>
      <c r="AA676" s="22"/>
      <c r="AB676" s="22"/>
      <c r="AC676" s="41"/>
      <c r="AD676" s="22"/>
    </row>
    <row r="677" spans="18:30" x14ac:dyDescent="0.25">
      <c r="R677" s="22"/>
      <c r="S677" s="22"/>
      <c r="T677" s="331"/>
      <c r="U677" s="22"/>
      <c r="V677" s="22"/>
      <c r="W677" s="22"/>
      <c r="X677" s="22"/>
      <c r="Y677" s="22"/>
      <c r="Z677" s="22"/>
      <c r="AA677" s="22"/>
      <c r="AB677" s="22"/>
      <c r="AC677" s="41"/>
      <c r="AD677" s="22"/>
    </row>
    <row r="678" spans="18:30" x14ac:dyDescent="0.25">
      <c r="R678" s="22"/>
      <c r="S678" s="22"/>
      <c r="T678" s="331"/>
      <c r="U678" s="22"/>
      <c r="V678" s="22"/>
      <c r="W678" s="22"/>
      <c r="X678" s="22"/>
      <c r="Y678" s="22"/>
      <c r="Z678" s="22"/>
      <c r="AA678" s="22"/>
      <c r="AB678" s="22"/>
      <c r="AC678" s="41"/>
      <c r="AD678" s="22"/>
    </row>
    <row r="679" spans="18:30" x14ac:dyDescent="0.25">
      <c r="R679" s="22"/>
      <c r="S679" s="22"/>
      <c r="T679" s="331"/>
      <c r="U679" s="22"/>
      <c r="V679" s="22"/>
      <c r="W679" s="22"/>
      <c r="X679" s="22"/>
      <c r="Y679" s="22"/>
      <c r="Z679" s="22"/>
      <c r="AA679" s="22"/>
      <c r="AB679" s="22"/>
      <c r="AC679" s="41"/>
      <c r="AD679" s="22"/>
    </row>
    <row r="680" spans="18:30" x14ac:dyDescent="0.25">
      <c r="R680" s="22"/>
      <c r="S680" s="22"/>
      <c r="T680" s="331"/>
      <c r="U680" s="22"/>
      <c r="V680" s="22"/>
      <c r="W680" s="22"/>
      <c r="X680" s="22"/>
      <c r="Y680" s="22"/>
      <c r="Z680" s="22"/>
      <c r="AA680" s="22"/>
      <c r="AB680" s="22"/>
      <c r="AC680" s="41"/>
      <c r="AD680" s="22"/>
    </row>
    <row r="681" spans="18:30" x14ac:dyDescent="0.25">
      <c r="R681" s="22"/>
      <c r="S681" s="22"/>
      <c r="T681" s="331"/>
      <c r="U681" s="22"/>
      <c r="V681" s="22"/>
      <c r="W681" s="22"/>
      <c r="X681" s="22"/>
      <c r="Y681" s="22"/>
      <c r="Z681" s="22"/>
      <c r="AA681" s="22"/>
      <c r="AB681" s="22"/>
      <c r="AC681" s="41"/>
      <c r="AD681" s="22"/>
    </row>
    <row r="682" spans="18:30" x14ac:dyDescent="0.25">
      <c r="R682" s="22"/>
      <c r="S682" s="22"/>
      <c r="T682" s="331"/>
      <c r="U682" s="22"/>
      <c r="V682" s="22"/>
      <c r="W682" s="22"/>
      <c r="X682" s="22"/>
      <c r="Y682" s="22"/>
      <c r="Z682" s="22"/>
      <c r="AA682" s="22"/>
      <c r="AB682" s="22"/>
      <c r="AC682" s="41"/>
      <c r="AD682" s="22"/>
    </row>
    <row r="683" spans="18:30" x14ac:dyDescent="0.25">
      <c r="R683" s="22"/>
      <c r="S683" s="22"/>
      <c r="T683" s="331"/>
      <c r="U683" s="22"/>
      <c r="V683" s="22"/>
      <c r="W683" s="22"/>
      <c r="X683" s="22"/>
      <c r="Y683" s="22"/>
      <c r="Z683" s="22"/>
      <c r="AA683" s="22"/>
      <c r="AB683" s="22"/>
      <c r="AC683" s="41"/>
      <c r="AD683" s="22"/>
    </row>
    <row r="684" spans="18:30" x14ac:dyDescent="0.25">
      <c r="R684" s="22"/>
      <c r="S684" s="22"/>
      <c r="T684" s="331"/>
      <c r="U684" s="22"/>
      <c r="V684" s="22"/>
      <c r="W684" s="22"/>
      <c r="X684" s="22"/>
      <c r="Y684" s="22"/>
      <c r="Z684" s="22"/>
      <c r="AA684" s="22"/>
      <c r="AB684" s="22"/>
      <c r="AC684" s="41"/>
      <c r="AD684" s="22"/>
    </row>
    <row r="685" spans="18:30" x14ac:dyDescent="0.25">
      <c r="R685" s="22"/>
      <c r="S685" s="22"/>
      <c r="T685" s="331"/>
      <c r="U685" s="22"/>
      <c r="V685" s="22"/>
      <c r="W685" s="22"/>
      <c r="X685" s="22"/>
      <c r="Y685" s="22"/>
      <c r="Z685" s="22"/>
      <c r="AA685" s="22"/>
      <c r="AB685" s="22"/>
      <c r="AC685" s="41"/>
      <c r="AD685" s="22"/>
    </row>
    <row r="686" spans="18:30" x14ac:dyDescent="0.25">
      <c r="R686" s="22"/>
      <c r="S686" s="22"/>
      <c r="T686" s="331"/>
      <c r="U686" s="22"/>
      <c r="V686" s="22"/>
      <c r="W686" s="22"/>
      <c r="X686" s="22"/>
      <c r="Y686" s="22"/>
      <c r="Z686" s="22"/>
      <c r="AA686" s="22"/>
      <c r="AB686" s="22"/>
      <c r="AC686" s="41"/>
      <c r="AD686" s="22"/>
    </row>
    <row r="687" spans="18:30" x14ac:dyDescent="0.25">
      <c r="R687" s="22"/>
      <c r="S687" s="22"/>
      <c r="T687" s="331"/>
      <c r="U687" s="22"/>
      <c r="V687" s="22"/>
      <c r="W687" s="22"/>
      <c r="X687" s="22"/>
      <c r="Y687" s="22"/>
      <c r="Z687" s="22"/>
      <c r="AA687" s="22"/>
      <c r="AB687" s="22"/>
      <c r="AC687" s="41"/>
      <c r="AD687" s="22"/>
    </row>
    <row r="688" spans="18:30" x14ac:dyDescent="0.25">
      <c r="R688" s="22"/>
      <c r="S688" s="22"/>
      <c r="T688" s="331"/>
      <c r="U688" s="22"/>
      <c r="V688" s="22"/>
      <c r="W688" s="22"/>
      <c r="X688" s="22"/>
      <c r="Y688" s="22"/>
      <c r="Z688" s="22"/>
      <c r="AA688" s="22"/>
      <c r="AB688" s="22"/>
      <c r="AC688" s="41"/>
      <c r="AD688" s="22"/>
    </row>
    <row r="689" spans="18:30" x14ac:dyDescent="0.25">
      <c r="R689" s="22"/>
      <c r="S689" s="22"/>
      <c r="T689" s="331"/>
      <c r="U689" s="22"/>
      <c r="V689" s="22"/>
      <c r="W689" s="22"/>
      <c r="X689" s="22"/>
      <c r="Y689" s="22"/>
      <c r="Z689" s="22"/>
      <c r="AA689" s="22"/>
      <c r="AB689" s="22"/>
      <c r="AC689" s="41"/>
      <c r="AD689" s="22"/>
    </row>
    <row r="690" spans="18:30" x14ac:dyDescent="0.25">
      <c r="R690" s="22"/>
      <c r="S690" s="22"/>
      <c r="T690" s="331"/>
      <c r="U690" s="22"/>
      <c r="V690" s="22"/>
      <c r="W690" s="22"/>
      <c r="X690" s="22"/>
      <c r="Y690" s="22"/>
      <c r="Z690" s="22"/>
      <c r="AA690" s="22"/>
      <c r="AB690" s="22"/>
      <c r="AC690" s="41"/>
      <c r="AD690" s="22"/>
    </row>
    <row r="691" spans="18:30" x14ac:dyDescent="0.25">
      <c r="R691" s="22"/>
      <c r="S691" s="22"/>
      <c r="T691" s="331"/>
      <c r="U691" s="22"/>
      <c r="V691" s="22"/>
      <c r="W691" s="22"/>
      <c r="X691" s="22"/>
      <c r="Y691" s="22"/>
      <c r="Z691" s="22"/>
      <c r="AA691" s="22"/>
      <c r="AB691" s="22"/>
      <c r="AC691" s="41"/>
      <c r="AD691" s="22"/>
    </row>
    <row r="692" spans="18:30" x14ac:dyDescent="0.25">
      <c r="R692" s="22"/>
      <c r="S692" s="22"/>
      <c r="T692" s="331"/>
      <c r="U692" s="22"/>
      <c r="V692" s="22"/>
      <c r="W692" s="22"/>
      <c r="X692" s="22"/>
      <c r="Y692" s="22"/>
      <c r="Z692" s="22"/>
      <c r="AA692" s="22"/>
      <c r="AB692" s="22"/>
      <c r="AC692" s="41"/>
      <c r="AD692" s="22"/>
    </row>
    <row r="693" spans="18:30" x14ac:dyDescent="0.25">
      <c r="R693" s="22"/>
      <c r="S693" s="22"/>
      <c r="T693" s="331"/>
      <c r="U693" s="22"/>
      <c r="V693" s="22"/>
      <c r="W693" s="22"/>
      <c r="X693" s="22"/>
      <c r="Y693" s="22"/>
      <c r="Z693" s="22"/>
      <c r="AA693" s="22"/>
      <c r="AB693" s="22"/>
      <c r="AC693" s="41"/>
      <c r="AD693" s="22"/>
    </row>
    <row r="694" spans="18:30" x14ac:dyDescent="0.25">
      <c r="R694" s="22"/>
      <c r="S694" s="22"/>
      <c r="T694" s="331"/>
      <c r="U694" s="22"/>
      <c r="V694" s="22"/>
      <c r="W694" s="22"/>
      <c r="X694" s="22"/>
      <c r="Y694" s="22"/>
      <c r="Z694" s="22"/>
      <c r="AA694" s="22"/>
      <c r="AB694" s="22"/>
      <c r="AC694" s="41"/>
      <c r="AD694" s="22"/>
    </row>
    <row r="695" spans="18:30" x14ac:dyDescent="0.25">
      <c r="R695" s="22"/>
      <c r="S695" s="22"/>
      <c r="T695" s="331"/>
      <c r="U695" s="22"/>
      <c r="V695" s="22"/>
      <c r="W695" s="22"/>
      <c r="X695" s="22"/>
      <c r="Y695" s="22"/>
      <c r="Z695" s="22"/>
      <c r="AA695" s="22"/>
      <c r="AB695" s="22"/>
      <c r="AC695" s="41"/>
      <c r="AD695" s="22"/>
    </row>
    <row r="696" spans="18:30" x14ac:dyDescent="0.25">
      <c r="R696" s="22"/>
      <c r="S696" s="22"/>
      <c r="T696" s="331"/>
      <c r="U696" s="22"/>
      <c r="V696" s="22"/>
      <c r="W696" s="22"/>
      <c r="X696" s="22"/>
      <c r="Y696" s="22"/>
      <c r="Z696" s="22"/>
      <c r="AA696" s="22"/>
      <c r="AB696" s="22"/>
      <c r="AC696" s="41"/>
      <c r="AD696" s="22"/>
    </row>
    <row r="697" spans="18:30" x14ac:dyDescent="0.25">
      <c r="R697" s="22"/>
      <c r="S697" s="22"/>
      <c r="T697" s="331"/>
      <c r="U697" s="22"/>
      <c r="V697" s="22"/>
      <c r="W697" s="22"/>
      <c r="X697" s="22"/>
      <c r="Y697" s="22"/>
      <c r="Z697" s="22"/>
      <c r="AA697" s="22"/>
      <c r="AB697" s="22"/>
      <c r="AC697" s="41"/>
      <c r="AD697" s="22"/>
    </row>
    <row r="698" spans="18:30" x14ac:dyDescent="0.25">
      <c r="R698" s="22"/>
      <c r="S698" s="22"/>
      <c r="T698" s="331"/>
      <c r="U698" s="22"/>
      <c r="V698" s="22"/>
      <c r="W698" s="22"/>
      <c r="X698" s="22"/>
      <c r="Y698" s="22"/>
      <c r="Z698" s="22"/>
      <c r="AA698" s="22"/>
      <c r="AB698" s="22"/>
      <c r="AC698" s="41"/>
      <c r="AD698" s="22"/>
    </row>
    <row r="699" spans="18:30" x14ac:dyDescent="0.25">
      <c r="R699" s="22"/>
      <c r="S699" s="22"/>
      <c r="T699" s="331"/>
      <c r="U699" s="22"/>
      <c r="V699" s="22"/>
      <c r="W699" s="22"/>
      <c r="X699" s="22"/>
      <c r="Y699" s="22"/>
      <c r="Z699" s="22"/>
      <c r="AA699" s="22"/>
      <c r="AB699" s="22"/>
      <c r="AC699" s="41"/>
      <c r="AD699" s="22"/>
    </row>
    <row r="700" spans="18:30" x14ac:dyDescent="0.25">
      <c r="R700" s="22"/>
      <c r="S700" s="22"/>
      <c r="T700" s="331"/>
      <c r="U700" s="22"/>
      <c r="V700" s="22"/>
      <c r="W700" s="22"/>
      <c r="X700" s="22"/>
      <c r="Y700" s="22"/>
      <c r="Z700" s="22"/>
      <c r="AA700" s="22"/>
      <c r="AB700" s="22"/>
      <c r="AC700" s="41"/>
      <c r="AD700" s="22"/>
    </row>
    <row r="701" spans="18:30" x14ac:dyDescent="0.25">
      <c r="R701" s="22"/>
      <c r="S701" s="22"/>
      <c r="T701" s="331"/>
      <c r="U701" s="22"/>
      <c r="V701" s="22"/>
      <c r="W701" s="22"/>
      <c r="X701" s="22"/>
      <c r="Y701" s="22"/>
      <c r="Z701" s="22"/>
      <c r="AA701" s="22"/>
      <c r="AB701" s="22"/>
      <c r="AC701" s="41"/>
      <c r="AD701" s="22"/>
    </row>
    <row r="702" spans="18:30" x14ac:dyDescent="0.25">
      <c r="R702" s="22"/>
      <c r="S702" s="22"/>
      <c r="T702" s="331"/>
      <c r="U702" s="22"/>
      <c r="V702" s="22"/>
      <c r="W702" s="22"/>
      <c r="X702" s="22"/>
      <c r="Y702" s="22"/>
      <c r="Z702" s="22"/>
      <c r="AA702" s="22"/>
      <c r="AB702" s="22"/>
      <c r="AC702" s="41"/>
      <c r="AD702" s="22"/>
    </row>
    <row r="703" spans="18:30" x14ac:dyDescent="0.25">
      <c r="R703" s="22"/>
      <c r="S703" s="22"/>
      <c r="T703" s="331"/>
      <c r="U703" s="22"/>
      <c r="V703" s="22"/>
      <c r="W703" s="22"/>
      <c r="X703" s="22"/>
      <c r="Y703" s="22"/>
      <c r="Z703" s="22"/>
      <c r="AA703" s="22"/>
      <c r="AB703" s="22"/>
      <c r="AC703" s="41"/>
      <c r="AD703" s="22"/>
    </row>
    <row r="704" spans="18:30" x14ac:dyDescent="0.25">
      <c r="R704" s="22"/>
      <c r="S704" s="22"/>
      <c r="T704" s="331"/>
      <c r="U704" s="22"/>
      <c r="V704" s="22"/>
      <c r="W704" s="22"/>
      <c r="X704" s="22"/>
      <c r="Y704" s="22"/>
      <c r="Z704" s="22"/>
      <c r="AA704" s="22"/>
      <c r="AB704" s="22"/>
      <c r="AC704" s="41"/>
      <c r="AD704" s="22"/>
    </row>
    <row r="705" spans="18:30" x14ac:dyDescent="0.25">
      <c r="R705" s="22"/>
      <c r="S705" s="22"/>
      <c r="T705" s="331"/>
      <c r="U705" s="22"/>
      <c r="V705" s="22"/>
      <c r="W705" s="22"/>
      <c r="X705" s="22"/>
      <c r="Y705" s="22"/>
      <c r="Z705" s="22"/>
      <c r="AA705" s="22"/>
      <c r="AB705" s="22"/>
      <c r="AC705" s="41"/>
      <c r="AD705" s="22"/>
    </row>
    <row r="706" spans="18:30" x14ac:dyDescent="0.25">
      <c r="R706" s="22"/>
      <c r="S706" s="22"/>
      <c r="T706" s="331"/>
      <c r="U706" s="22"/>
      <c r="V706" s="22"/>
      <c r="W706" s="22"/>
      <c r="X706" s="22"/>
      <c r="Y706" s="22"/>
      <c r="Z706" s="22"/>
      <c r="AA706" s="22"/>
      <c r="AB706" s="22"/>
      <c r="AC706" s="41"/>
      <c r="AD706" s="22"/>
    </row>
    <row r="707" spans="18:30" x14ac:dyDescent="0.25">
      <c r="R707" s="22"/>
      <c r="S707" s="22"/>
      <c r="T707" s="331"/>
      <c r="U707" s="22"/>
      <c r="V707" s="22"/>
      <c r="W707" s="22"/>
      <c r="X707" s="22"/>
      <c r="Y707" s="22"/>
      <c r="Z707" s="22"/>
      <c r="AA707" s="22"/>
      <c r="AB707" s="22"/>
      <c r="AC707" s="41"/>
      <c r="AD707" s="22"/>
    </row>
    <row r="708" spans="18:30" x14ac:dyDescent="0.25">
      <c r="R708" s="22"/>
      <c r="S708" s="22"/>
      <c r="T708" s="331"/>
      <c r="U708" s="22"/>
      <c r="V708" s="22"/>
      <c r="W708" s="22"/>
      <c r="X708" s="22"/>
      <c r="Y708" s="22"/>
      <c r="Z708" s="22"/>
      <c r="AA708" s="22"/>
      <c r="AB708" s="22"/>
      <c r="AC708" s="41"/>
      <c r="AD708" s="22"/>
    </row>
    <row r="709" spans="18:30" x14ac:dyDescent="0.25">
      <c r="R709" s="22"/>
      <c r="S709" s="22"/>
      <c r="T709" s="331"/>
      <c r="U709" s="22"/>
      <c r="V709" s="22"/>
      <c r="W709" s="22"/>
      <c r="X709" s="22"/>
      <c r="Y709" s="22"/>
      <c r="Z709" s="22"/>
      <c r="AA709" s="22"/>
      <c r="AB709" s="22"/>
      <c r="AC709" s="41"/>
      <c r="AD709" s="22"/>
    </row>
    <row r="710" spans="18:30" x14ac:dyDescent="0.25">
      <c r="R710" s="22"/>
      <c r="S710" s="22"/>
      <c r="T710" s="331"/>
      <c r="U710" s="22"/>
      <c r="V710" s="22"/>
      <c r="W710" s="22"/>
      <c r="X710" s="22"/>
      <c r="Y710" s="22"/>
      <c r="Z710" s="22"/>
      <c r="AA710" s="22"/>
      <c r="AB710" s="22"/>
      <c r="AC710" s="41"/>
      <c r="AD710" s="22"/>
    </row>
    <row r="711" spans="18:30" x14ac:dyDescent="0.25">
      <c r="R711" s="22"/>
      <c r="S711" s="22"/>
      <c r="T711" s="331"/>
      <c r="U711" s="22"/>
      <c r="V711" s="22"/>
      <c r="W711" s="22"/>
      <c r="X711" s="22"/>
      <c r="Y711" s="22"/>
      <c r="Z711" s="22"/>
      <c r="AA711" s="22"/>
      <c r="AB711" s="22"/>
      <c r="AC711" s="41"/>
      <c r="AD711" s="22"/>
    </row>
    <row r="712" spans="18:30" x14ac:dyDescent="0.25">
      <c r="R712" s="22"/>
      <c r="S712" s="22"/>
      <c r="T712" s="331"/>
      <c r="U712" s="22"/>
      <c r="V712" s="22"/>
      <c r="W712" s="22"/>
      <c r="X712" s="22"/>
      <c r="Y712" s="22"/>
      <c r="Z712" s="22"/>
      <c r="AA712" s="22"/>
      <c r="AB712" s="22"/>
      <c r="AC712" s="41"/>
      <c r="AD712" s="22"/>
    </row>
    <row r="713" spans="18:30" x14ac:dyDescent="0.25">
      <c r="R713" s="22"/>
      <c r="S713" s="22"/>
      <c r="T713" s="331"/>
      <c r="U713" s="22"/>
      <c r="V713" s="22"/>
      <c r="W713" s="22"/>
      <c r="X713" s="22"/>
      <c r="Y713" s="22"/>
      <c r="Z713" s="22"/>
      <c r="AA713" s="22"/>
      <c r="AB713" s="22"/>
      <c r="AC713" s="41"/>
      <c r="AD713" s="22"/>
    </row>
    <row r="714" spans="18:30" x14ac:dyDescent="0.25">
      <c r="R714" s="22"/>
      <c r="S714" s="22"/>
      <c r="T714" s="331"/>
      <c r="U714" s="22"/>
      <c r="V714" s="22"/>
      <c r="W714" s="22"/>
      <c r="X714" s="22"/>
      <c r="Y714" s="22"/>
      <c r="Z714" s="22"/>
      <c r="AA714" s="22"/>
      <c r="AB714" s="22"/>
      <c r="AC714" s="41"/>
      <c r="AD714" s="22"/>
    </row>
    <row r="715" spans="18:30" x14ac:dyDescent="0.25">
      <c r="R715" s="22"/>
      <c r="S715" s="22"/>
      <c r="T715" s="331"/>
      <c r="U715" s="22"/>
      <c r="V715" s="22"/>
      <c r="W715" s="22"/>
      <c r="X715" s="22"/>
      <c r="Y715" s="22"/>
      <c r="Z715" s="22"/>
      <c r="AA715" s="22"/>
      <c r="AB715" s="22"/>
      <c r="AC715" s="41"/>
      <c r="AD715" s="22"/>
    </row>
    <row r="716" spans="18:30" x14ac:dyDescent="0.25">
      <c r="R716" s="22"/>
      <c r="S716" s="22"/>
      <c r="T716" s="331"/>
      <c r="U716" s="22"/>
      <c r="V716" s="22"/>
      <c r="W716" s="22"/>
      <c r="X716" s="22"/>
      <c r="Y716" s="22"/>
      <c r="Z716" s="22"/>
      <c r="AA716" s="22"/>
      <c r="AB716" s="22"/>
      <c r="AC716" s="41"/>
      <c r="AD716" s="22"/>
    </row>
    <row r="717" spans="18:30" x14ac:dyDescent="0.25">
      <c r="R717" s="22"/>
      <c r="S717" s="22"/>
      <c r="T717" s="331"/>
      <c r="U717" s="22"/>
      <c r="V717" s="22"/>
      <c r="W717" s="22"/>
      <c r="X717" s="22"/>
      <c r="Y717" s="22"/>
      <c r="Z717" s="22"/>
      <c r="AA717" s="22"/>
      <c r="AB717" s="22"/>
      <c r="AC717" s="41"/>
      <c r="AD717" s="22"/>
    </row>
    <row r="718" spans="18:30" x14ac:dyDescent="0.25">
      <c r="R718" s="22"/>
      <c r="S718" s="22"/>
      <c r="T718" s="331"/>
      <c r="U718" s="22"/>
      <c r="V718" s="22"/>
      <c r="W718" s="22"/>
      <c r="X718" s="22"/>
      <c r="Y718" s="22"/>
      <c r="Z718" s="22"/>
      <c r="AA718" s="22"/>
      <c r="AB718" s="22"/>
      <c r="AC718" s="41"/>
      <c r="AD718" s="22"/>
    </row>
    <row r="719" spans="18:30" x14ac:dyDescent="0.25">
      <c r="R719" s="22"/>
      <c r="S719" s="22"/>
      <c r="T719" s="331"/>
      <c r="U719" s="22"/>
      <c r="V719" s="22"/>
      <c r="W719" s="22"/>
      <c r="X719" s="22"/>
      <c r="Y719" s="22"/>
      <c r="Z719" s="22"/>
      <c r="AA719" s="22"/>
      <c r="AB719" s="22"/>
      <c r="AC719" s="41"/>
      <c r="AD719" s="22"/>
    </row>
    <row r="720" spans="18:30" x14ac:dyDescent="0.25">
      <c r="R720" s="22"/>
      <c r="S720" s="22"/>
      <c r="T720" s="331"/>
      <c r="U720" s="22"/>
      <c r="V720" s="22"/>
      <c r="W720" s="22"/>
      <c r="X720" s="22"/>
      <c r="Y720" s="22"/>
      <c r="Z720" s="22"/>
      <c r="AA720" s="22"/>
      <c r="AB720" s="22"/>
      <c r="AC720" s="41"/>
      <c r="AD720" s="22"/>
    </row>
    <row r="721" spans="18:30" x14ac:dyDescent="0.25">
      <c r="R721" s="22"/>
      <c r="S721" s="22"/>
      <c r="T721" s="331"/>
      <c r="U721" s="22"/>
      <c r="V721" s="22"/>
      <c r="W721" s="22"/>
      <c r="X721" s="22"/>
      <c r="Y721" s="22"/>
      <c r="Z721" s="22"/>
      <c r="AA721" s="22"/>
      <c r="AB721" s="22"/>
      <c r="AC721" s="41"/>
      <c r="AD721" s="22"/>
    </row>
    <row r="722" spans="18:30" x14ac:dyDescent="0.25">
      <c r="R722" s="22"/>
      <c r="S722" s="22"/>
      <c r="T722" s="331"/>
      <c r="U722" s="22"/>
      <c r="V722" s="22"/>
      <c r="W722" s="22"/>
      <c r="X722" s="22"/>
      <c r="Y722" s="22"/>
      <c r="Z722" s="22"/>
      <c r="AA722" s="22"/>
      <c r="AB722" s="22"/>
      <c r="AC722" s="41"/>
      <c r="AD722" s="22"/>
    </row>
    <row r="723" spans="18:30" x14ac:dyDescent="0.25">
      <c r="R723" s="22"/>
      <c r="S723" s="22"/>
      <c r="T723" s="331"/>
      <c r="U723" s="22"/>
      <c r="V723" s="22"/>
      <c r="W723" s="22"/>
      <c r="X723" s="22"/>
      <c r="Y723" s="22"/>
      <c r="Z723" s="22"/>
      <c r="AA723" s="22"/>
      <c r="AB723" s="22"/>
      <c r="AC723" s="41"/>
      <c r="AD723" s="22"/>
    </row>
    <row r="724" spans="18:30" x14ac:dyDescent="0.25">
      <c r="R724" s="22"/>
      <c r="S724" s="22"/>
      <c r="T724" s="331"/>
      <c r="U724" s="22"/>
      <c r="V724" s="22"/>
      <c r="W724" s="22"/>
      <c r="X724" s="22"/>
      <c r="Y724" s="22"/>
      <c r="Z724" s="22"/>
      <c r="AA724" s="22"/>
      <c r="AB724" s="22"/>
      <c r="AC724" s="41"/>
      <c r="AD724" s="22"/>
    </row>
    <row r="725" spans="18:30" x14ac:dyDescent="0.25">
      <c r="R725" s="22"/>
      <c r="S725" s="22"/>
      <c r="T725" s="331"/>
      <c r="U725" s="22"/>
      <c r="V725" s="22"/>
      <c r="W725" s="22"/>
      <c r="X725" s="22"/>
      <c r="Y725" s="22"/>
      <c r="Z725" s="22"/>
      <c r="AA725" s="22"/>
      <c r="AB725" s="22"/>
      <c r="AC725" s="41"/>
      <c r="AD725" s="22"/>
    </row>
    <row r="726" spans="18:30" x14ac:dyDescent="0.25">
      <c r="R726" s="22"/>
      <c r="S726" s="22"/>
      <c r="T726" s="331"/>
      <c r="U726" s="22"/>
      <c r="V726" s="22"/>
      <c r="W726" s="22"/>
      <c r="X726" s="22"/>
      <c r="Y726" s="22"/>
      <c r="Z726" s="22"/>
      <c r="AA726" s="22"/>
      <c r="AB726" s="22"/>
      <c r="AC726" s="41"/>
      <c r="AD726" s="22"/>
    </row>
    <row r="727" spans="18:30" x14ac:dyDescent="0.25">
      <c r="R727" s="22"/>
      <c r="S727" s="22"/>
      <c r="T727" s="331"/>
      <c r="U727" s="22"/>
      <c r="V727" s="22"/>
      <c r="W727" s="22"/>
      <c r="X727" s="22"/>
      <c r="Y727" s="22"/>
      <c r="Z727" s="22"/>
      <c r="AA727" s="22"/>
      <c r="AB727" s="22"/>
      <c r="AC727" s="41"/>
      <c r="AD727" s="22"/>
    </row>
    <row r="728" spans="18:30" x14ac:dyDescent="0.25">
      <c r="R728" s="22"/>
      <c r="S728" s="22"/>
      <c r="T728" s="331"/>
      <c r="U728" s="22"/>
      <c r="V728" s="22"/>
      <c r="W728" s="22"/>
      <c r="X728" s="22"/>
      <c r="Y728" s="22"/>
      <c r="Z728" s="22"/>
      <c r="AA728" s="22"/>
      <c r="AB728" s="22"/>
      <c r="AC728" s="41"/>
      <c r="AD728" s="22"/>
    </row>
    <row r="729" spans="18:30" x14ac:dyDescent="0.25">
      <c r="R729" s="22"/>
      <c r="S729" s="22"/>
      <c r="T729" s="331"/>
      <c r="U729" s="22"/>
      <c r="V729" s="22"/>
      <c r="W729" s="22"/>
      <c r="X729" s="22"/>
      <c r="Y729" s="22"/>
      <c r="Z729" s="22"/>
      <c r="AA729" s="22"/>
      <c r="AB729" s="22"/>
      <c r="AC729" s="41"/>
      <c r="AD729" s="22"/>
    </row>
    <row r="730" spans="18:30" x14ac:dyDescent="0.25">
      <c r="R730" s="22"/>
      <c r="S730" s="22"/>
      <c r="T730" s="331"/>
      <c r="U730" s="22"/>
      <c r="V730" s="22"/>
      <c r="W730" s="22"/>
      <c r="X730" s="22"/>
      <c r="Y730" s="22"/>
      <c r="Z730" s="22"/>
      <c r="AA730" s="22"/>
      <c r="AB730" s="22"/>
      <c r="AC730" s="41"/>
      <c r="AD730" s="22"/>
    </row>
    <row r="731" spans="18:30" x14ac:dyDescent="0.25">
      <c r="R731" s="22"/>
      <c r="S731" s="22"/>
      <c r="T731" s="331"/>
      <c r="U731" s="22"/>
      <c r="V731" s="22"/>
      <c r="W731" s="22"/>
      <c r="X731" s="22"/>
      <c r="Y731" s="22"/>
      <c r="Z731" s="22"/>
      <c r="AA731" s="22"/>
      <c r="AB731" s="22"/>
      <c r="AC731" s="41"/>
      <c r="AD731" s="22"/>
    </row>
    <row r="732" spans="18:30" x14ac:dyDescent="0.25">
      <c r="R732" s="22"/>
      <c r="S732" s="22"/>
      <c r="T732" s="331"/>
      <c r="U732" s="22"/>
      <c r="V732" s="22"/>
      <c r="W732" s="22"/>
      <c r="X732" s="22"/>
      <c r="Y732" s="22"/>
      <c r="Z732" s="22"/>
      <c r="AA732" s="22"/>
      <c r="AB732" s="22"/>
      <c r="AC732" s="41"/>
      <c r="AD732" s="22"/>
    </row>
    <row r="733" spans="18:30" x14ac:dyDescent="0.25">
      <c r="R733" s="22"/>
      <c r="S733" s="22"/>
      <c r="T733" s="331"/>
      <c r="U733" s="22"/>
      <c r="V733" s="22"/>
      <c r="W733" s="22"/>
      <c r="X733" s="22"/>
      <c r="Y733" s="22"/>
      <c r="Z733" s="22"/>
      <c r="AA733" s="22"/>
      <c r="AB733" s="22"/>
      <c r="AC733" s="41"/>
      <c r="AD733" s="22"/>
    </row>
    <row r="734" spans="18:30" x14ac:dyDescent="0.25">
      <c r="R734" s="22"/>
      <c r="S734" s="22"/>
      <c r="T734" s="331"/>
      <c r="U734" s="22"/>
      <c r="V734" s="22"/>
      <c r="W734" s="22"/>
      <c r="X734" s="22"/>
      <c r="Y734" s="22"/>
      <c r="Z734" s="22"/>
      <c r="AA734" s="22"/>
      <c r="AB734" s="22"/>
      <c r="AC734" s="41"/>
      <c r="AD734" s="22"/>
    </row>
    <row r="735" spans="18:30" x14ac:dyDescent="0.25">
      <c r="R735" s="22"/>
      <c r="S735" s="22"/>
      <c r="T735" s="331"/>
      <c r="U735" s="22"/>
      <c r="V735" s="22"/>
      <c r="W735" s="22"/>
      <c r="X735" s="22"/>
      <c r="Y735" s="22"/>
      <c r="Z735" s="22"/>
      <c r="AA735" s="22"/>
      <c r="AB735" s="22"/>
      <c r="AC735" s="41"/>
      <c r="AD735" s="22"/>
    </row>
    <row r="736" spans="18:30" x14ac:dyDescent="0.25">
      <c r="R736" s="22"/>
      <c r="S736" s="22"/>
      <c r="T736" s="331"/>
      <c r="U736" s="22"/>
      <c r="V736" s="22"/>
      <c r="W736" s="22"/>
      <c r="X736" s="22"/>
      <c r="Y736" s="22"/>
      <c r="Z736" s="22"/>
      <c r="AA736" s="22"/>
      <c r="AB736" s="22"/>
      <c r="AC736" s="41"/>
      <c r="AD736" s="22"/>
    </row>
    <row r="737" spans="18:30" x14ac:dyDescent="0.25">
      <c r="R737" s="22"/>
      <c r="S737" s="22"/>
      <c r="T737" s="331"/>
      <c r="U737" s="22"/>
      <c r="V737" s="22"/>
      <c r="W737" s="22"/>
      <c r="X737" s="22"/>
      <c r="Y737" s="22"/>
      <c r="Z737" s="22"/>
      <c r="AA737" s="22"/>
      <c r="AB737" s="22"/>
      <c r="AC737" s="41"/>
      <c r="AD737" s="22"/>
    </row>
    <row r="738" spans="18:30" x14ac:dyDescent="0.25">
      <c r="R738" s="22"/>
      <c r="S738" s="22"/>
      <c r="T738" s="331"/>
      <c r="U738" s="22"/>
      <c r="V738" s="22"/>
      <c r="W738" s="22"/>
      <c r="X738" s="22"/>
      <c r="Y738" s="22"/>
      <c r="Z738" s="22"/>
      <c r="AA738" s="22"/>
      <c r="AB738" s="22"/>
      <c r="AC738" s="41"/>
      <c r="AD738" s="22"/>
    </row>
    <row r="739" spans="18:30" x14ac:dyDescent="0.25">
      <c r="R739" s="22"/>
      <c r="S739" s="22"/>
      <c r="T739" s="331"/>
      <c r="U739" s="22"/>
      <c r="V739" s="22"/>
      <c r="W739" s="22"/>
      <c r="X739" s="22"/>
      <c r="Y739" s="22"/>
      <c r="Z739" s="22"/>
      <c r="AA739" s="22"/>
      <c r="AB739" s="22"/>
      <c r="AC739" s="41"/>
      <c r="AD739" s="22"/>
    </row>
    <row r="740" spans="18:30" x14ac:dyDescent="0.25">
      <c r="R740" s="22"/>
      <c r="S740" s="22"/>
      <c r="T740" s="331"/>
      <c r="U740" s="22"/>
      <c r="V740" s="22"/>
      <c r="W740" s="22"/>
      <c r="X740" s="22"/>
      <c r="Y740" s="22"/>
      <c r="Z740" s="22"/>
      <c r="AA740" s="22"/>
      <c r="AB740" s="22"/>
      <c r="AC740" s="41"/>
      <c r="AD740" s="22"/>
    </row>
    <row r="741" spans="18:30" x14ac:dyDescent="0.25">
      <c r="R741" s="22"/>
      <c r="S741" s="22"/>
      <c r="T741" s="331"/>
      <c r="U741" s="22"/>
      <c r="V741" s="22"/>
      <c r="W741" s="22"/>
      <c r="X741" s="22"/>
      <c r="Y741" s="22"/>
      <c r="Z741" s="22"/>
      <c r="AA741" s="22"/>
      <c r="AB741" s="22"/>
      <c r="AC741" s="41"/>
      <c r="AD741" s="22"/>
    </row>
    <row r="742" spans="18:30" x14ac:dyDescent="0.25">
      <c r="R742" s="22"/>
      <c r="S742" s="22"/>
      <c r="T742" s="331"/>
      <c r="U742" s="22"/>
      <c r="V742" s="22"/>
      <c r="W742" s="22"/>
      <c r="X742" s="22"/>
      <c r="Y742" s="22"/>
      <c r="Z742" s="22"/>
      <c r="AA742" s="22"/>
      <c r="AB742" s="22"/>
      <c r="AC742" s="41"/>
      <c r="AD742" s="22"/>
    </row>
    <row r="743" spans="18:30" x14ac:dyDescent="0.25">
      <c r="R743" s="22"/>
      <c r="S743" s="22"/>
      <c r="T743" s="331"/>
      <c r="U743" s="22"/>
      <c r="V743" s="22"/>
      <c r="W743" s="22"/>
      <c r="X743" s="22"/>
      <c r="Y743" s="22"/>
      <c r="Z743" s="22"/>
      <c r="AA743" s="22"/>
      <c r="AB743" s="22"/>
      <c r="AC743" s="41"/>
      <c r="AD743" s="22"/>
    </row>
    <row r="744" spans="18:30" x14ac:dyDescent="0.25">
      <c r="R744" s="22"/>
      <c r="S744" s="22"/>
      <c r="T744" s="331"/>
      <c r="U744" s="22"/>
      <c r="V744" s="22"/>
      <c r="W744" s="22"/>
      <c r="X744" s="22"/>
      <c r="Y744" s="22"/>
      <c r="Z744" s="22"/>
      <c r="AA744" s="22"/>
      <c r="AB744" s="22"/>
      <c r="AC744" s="41"/>
      <c r="AD744" s="22"/>
    </row>
    <row r="745" spans="18:30" x14ac:dyDescent="0.25">
      <c r="R745" s="22"/>
      <c r="S745" s="22"/>
      <c r="T745" s="331"/>
      <c r="U745" s="22"/>
      <c r="V745" s="22"/>
      <c r="W745" s="22"/>
      <c r="X745" s="22"/>
      <c r="Y745" s="22"/>
      <c r="Z745" s="22"/>
      <c r="AA745" s="22"/>
      <c r="AB745" s="22"/>
      <c r="AC745" s="41"/>
      <c r="AD745" s="22"/>
    </row>
    <row r="746" spans="18:30" x14ac:dyDescent="0.25">
      <c r="R746" s="22"/>
      <c r="S746" s="22"/>
      <c r="T746" s="331"/>
      <c r="U746" s="22"/>
      <c r="V746" s="22"/>
      <c r="W746" s="22"/>
      <c r="X746" s="22"/>
      <c r="Y746" s="22"/>
      <c r="Z746" s="22"/>
      <c r="AA746" s="22"/>
      <c r="AB746" s="22"/>
      <c r="AC746" s="41"/>
      <c r="AD746" s="22"/>
    </row>
    <row r="747" spans="18:30" x14ac:dyDescent="0.25">
      <c r="R747" s="22"/>
      <c r="S747" s="22"/>
      <c r="T747" s="331"/>
      <c r="U747" s="22"/>
      <c r="V747" s="22"/>
      <c r="W747" s="22"/>
      <c r="X747" s="22"/>
      <c r="Y747" s="22"/>
      <c r="Z747" s="22"/>
      <c r="AA747" s="22"/>
      <c r="AB747" s="22"/>
      <c r="AC747" s="41"/>
      <c r="AD747" s="22"/>
    </row>
    <row r="748" spans="18:30" x14ac:dyDescent="0.25">
      <c r="R748" s="22"/>
      <c r="S748" s="22"/>
      <c r="T748" s="331"/>
      <c r="U748" s="22"/>
      <c r="V748" s="22"/>
      <c r="W748" s="22"/>
      <c r="X748" s="22"/>
      <c r="Y748" s="22"/>
      <c r="Z748" s="22"/>
      <c r="AA748" s="22"/>
      <c r="AB748" s="22"/>
      <c r="AC748" s="41"/>
      <c r="AD748" s="22"/>
    </row>
    <row r="749" spans="18:30" x14ac:dyDescent="0.25">
      <c r="R749" s="22"/>
      <c r="S749" s="22"/>
      <c r="T749" s="331"/>
      <c r="U749" s="22"/>
      <c r="V749" s="22"/>
      <c r="W749" s="22"/>
      <c r="X749" s="22"/>
      <c r="Y749" s="22"/>
      <c r="Z749" s="22"/>
      <c r="AA749" s="22"/>
      <c r="AB749" s="22"/>
      <c r="AC749" s="41"/>
      <c r="AD749" s="22"/>
    </row>
    <row r="750" spans="18:30" x14ac:dyDescent="0.25">
      <c r="R750" s="22"/>
      <c r="S750" s="22"/>
      <c r="T750" s="331"/>
      <c r="U750" s="22"/>
      <c r="V750" s="22"/>
      <c r="W750" s="22"/>
      <c r="X750" s="22"/>
      <c r="Y750" s="22"/>
      <c r="Z750" s="22"/>
      <c r="AA750" s="22"/>
      <c r="AB750" s="22"/>
      <c r="AC750" s="41"/>
      <c r="AD750" s="22"/>
    </row>
    <row r="751" spans="18:30" x14ac:dyDescent="0.25">
      <c r="R751" s="22"/>
      <c r="S751" s="22"/>
      <c r="T751" s="331"/>
      <c r="U751" s="22"/>
      <c r="V751" s="22"/>
      <c r="W751" s="22"/>
      <c r="X751" s="22"/>
      <c r="Y751" s="22"/>
      <c r="Z751" s="22"/>
      <c r="AA751" s="22"/>
      <c r="AB751" s="22"/>
      <c r="AC751" s="41"/>
      <c r="AD751" s="22"/>
    </row>
    <row r="752" spans="18:30" x14ac:dyDescent="0.25">
      <c r="R752" s="22"/>
      <c r="S752" s="22"/>
      <c r="T752" s="331"/>
      <c r="U752" s="22"/>
      <c r="V752" s="22"/>
      <c r="W752" s="22"/>
      <c r="X752" s="22"/>
      <c r="Y752" s="22"/>
      <c r="Z752" s="22"/>
      <c r="AA752" s="22"/>
      <c r="AB752" s="22"/>
      <c r="AC752" s="41"/>
      <c r="AD752" s="22"/>
    </row>
    <row r="753" spans="18:30" x14ac:dyDescent="0.25">
      <c r="R753" s="22"/>
      <c r="S753" s="22"/>
      <c r="T753" s="331"/>
      <c r="U753" s="22"/>
      <c r="V753" s="22"/>
      <c r="W753" s="22"/>
      <c r="X753" s="22"/>
      <c r="Y753" s="22"/>
      <c r="Z753" s="22"/>
      <c r="AA753" s="22"/>
      <c r="AB753" s="22"/>
      <c r="AC753" s="41"/>
      <c r="AD753" s="22"/>
    </row>
    <row r="754" spans="18:30" x14ac:dyDescent="0.25">
      <c r="R754" s="22"/>
      <c r="S754" s="22"/>
      <c r="T754" s="331"/>
      <c r="U754" s="22"/>
      <c r="V754" s="22"/>
      <c r="W754" s="22"/>
      <c r="X754" s="22"/>
      <c r="Y754" s="22"/>
      <c r="Z754" s="22"/>
      <c r="AA754" s="22"/>
      <c r="AB754" s="22"/>
      <c r="AC754" s="41"/>
      <c r="AD754" s="22"/>
    </row>
    <row r="755" spans="18:30" x14ac:dyDescent="0.25">
      <c r="R755" s="22"/>
      <c r="S755" s="22"/>
      <c r="T755" s="331"/>
      <c r="U755" s="22"/>
      <c r="V755" s="22"/>
      <c r="W755" s="22"/>
      <c r="X755" s="22"/>
      <c r="Y755" s="22"/>
      <c r="Z755" s="22"/>
      <c r="AA755" s="22"/>
      <c r="AB755" s="22"/>
      <c r="AC755" s="41"/>
      <c r="AD755" s="22"/>
    </row>
    <row r="756" spans="18:30" x14ac:dyDescent="0.25">
      <c r="R756" s="22"/>
      <c r="S756" s="22"/>
      <c r="T756" s="331"/>
      <c r="U756" s="22"/>
      <c r="V756" s="22"/>
      <c r="W756" s="22"/>
      <c r="X756" s="22"/>
      <c r="Y756" s="22"/>
      <c r="Z756" s="22"/>
      <c r="AA756" s="22"/>
      <c r="AB756" s="22"/>
      <c r="AC756" s="41"/>
      <c r="AD756" s="22"/>
    </row>
    <row r="757" spans="18:30" x14ac:dyDescent="0.25">
      <c r="R757" s="22"/>
      <c r="S757" s="22"/>
      <c r="T757" s="331"/>
      <c r="U757" s="22"/>
      <c r="V757" s="22"/>
      <c r="W757" s="22"/>
      <c r="X757" s="22"/>
      <c r="Y757" s="22"/>
      <c r="Z757" s="22"/>
      <c r="AA757" s="22"/>
      <c r="AB757" s="22"/>
      <c r="AC757" s="41"/>
      <c r="AD757" s="22"/>
    </row>
    <row r="758" spans="18:30" x14ac:dyDescent="0.25">
      <c r="R758" s="22"/>
      <c r="S758" s="22"/>
      <c r="T758" s="331"/>
      <c r="U758" s="22"/>
      <c r="V758" s="22"/>
      <c r="W758" s="22"/>
      <c r="X758" s="22"/>
      <c r="Y758" s="22"/>
      <c r="Z758" s="22"/>
      <c r="AA758" s="22"/>
      <c r="AB758" s="22"/>
      <c r="AC758" s="41"/>
      <c r="AD758" s="22"/>
    </row>
    <row r="759" spans="18:30" x14ac:dyDescent="0.25">
      <c r="R759" s="22"/>
      <c r="S759" s="22"/>
      <c r="T759" s="331"/>
      <c r="U759" s="22"/>
      <c r="V759" s="22"/>
      <c r="W759" s="22"/>
      <c r="X759" s="22"/>
      <c r="Y759" s="22"/>
      <c r="Z759" s="22"/>
      <c r="AA759" s="22"/>
      <c r="AB759" s="22"/>
      <c r="AC759" s="41"/>
      <c r="AD759" s="22"/>
    </row>
    <row r="760" spans="18:30" x14ac:dyDescent="0.25">
      <c r="R760" s="22"/>
      <c r="S760" s="22"/>
      <c r="T760" s="331"/>
      <c r="U760" s="22"/>
      <c r="V760" s="22"/>
      <c r="W760" s="22"/>
      <c r="X760" s="22"/>
      <c r="Y760" s="22"/>
      <c r="Z760" s="22"/>
      <c r="AA760" s="22"/>
      <c r="AB760" s="22"/>
      <c r="AC760" s="41"/>
      <c r="AD760" s="22"/>
    </row>
    <row r="761" spans="18:30" x14ac:dyDescent="0.25">
      <c r="R761" s="22"/>
      <c r="S761" s="22"/>
      <c r="T761" s="331"/>
      <c r="U761" s="22"/>
      <c r="V761" s="22"/>
      <c r="W761" s="22"/>
      <c r="X761" s="22"/>
      <c r="Y761" s="22"/>
      <c r="Z761" s="22"/>
      <c r="AA761" s="22"/>
      <c r="AB761" s="22"/>
      <c r="AC761" s="41"/>
      <c r="AD761" s="22"/>
    </row>
    <row r="762" spans="18:30" x14ac:dyDescent="0.25">
      <c r="R762" s="22"/>
      <c r="S762" s="22"/>
      <c r="T762" s="331"/>
      <c r="U762" s="22"/>
      <c r="V762" s="22"/>
      <c r="W762" s="22"/>
      <c r="X762" s="22"/>
      <c r="Y762" s="22"/>
      <c r="Z762" s="22"/>
      <c r="AA762" s="22"/>
      <c r="AB762" s="22"/>
      <c r="AC762" s="41"/>
      <c r="AD762" s="22"/>
    </row>
    <row r="763" spans="18:30" x14ac:dyDescent="0.25">
      <c r="R763" s="22"/>
      <c r="S763" s="22"/>
      <c r="T763" s="331"/>
      <c r="U763" s="22"/>
      <c r="V763" s="22"/>
      <c r="W763" s="22"/>
      <c r="X763" s="22"/>
      <c r="Y763" s="22"/>
      <c r="Z763" s="22"/>
      <c r="AA763" s="22"/>
      <c r="AB763" s="22"/>
      <c r="AC763" s="41"/>
      <c r="AD763" s="22"/>
    </row>
    <row r="764" spans="18:30" x14ac:dyDescent="0.25">
      <c r="R764" s="22"/>
      <c r="S764" s="22"/>
      <c r="T764" s="331"/>
      <c r="U764" s="22"/>
      <c r="V764" s="22"/>
      <c r="W764" s="22"/>
      <c r="X764" s="22"/>
      <c r="Y764" s="22"/>
      <c r="Z764" s="22"/>
      <c r="AA764" s="22"/>
      <c r="AB764" s="22"/>
      <c r="AC764" s="41"/>
      <c r="AD764" s="22"/>
    </row>
    <row r="765" spans="18:30" x14ac:dyDescent="0.25">
      <c r="R765" s="22"/>
      <c r="S765" s="22"/>
      <c r="T765" s="331"/>
      <c r="U765" s="22"/>
      <c r="V765" s="22"/>
      <c r="W765" s="22"/>
      <c r="X765" s="22"/>
      <c r="Y765" s="22"/>
      <c r="Z765" s="22"/>
      <c r="AA765" s="22"/>
      <c r="AB765" s="22"/>
      <c r="AC765" s="41"/>
      <c r="AD765" s="22"/>
    </row>
    <row r="766" spans="18:30" x14ac:dyDescent="0.25">
      <c r="R766" s="22"/>
      <c r="S766" s="22"/>
      <c r="T766" s="331"/>
      <c r="U766" s="22"/>
      <c r="V766" s="22"/>
      <c r="W766" s="22"/>
      <c r="X766" s="22"/>
      <c r="Y766" s="22"/>
      <c r="Z766" s="22"/>
      <c r="AA766" s="22"/>
      <c r="AB766" s="22"/>
      <c r="AC766" s="41"/>
      <c r="AD766" s="22"/>
    </row>
    <row r="767" spans="18:30" x14ac:dyDescent="0.25">
      <c r="R767" s="22"/>
      <c r="S767" s="22"/>
      <c r="T767" s="331"/>
      <c r="U767" s="22"/>
      <c r="V767" s="22"/>
      <c r="W767" s="22"/>
      <c r="X767" s="22"/>
      <c r="Y767" s="22"/>
      <c r="Z767" s="22"/>
      <c r="AA767" s="22"/>
      <c r="AB767" s="22"/>
      <c r="AC767" s="41"/>
      <c r="AD767" s="22"/>
    </row>
    <row r="768" spans="18:30" x14ac:dyDescent="0.25">
      <c r="R768" s="22"/>
      <c r="S768" s="22"/>
      <c r="T768" s="331"/>
      <c r="U768" s="22"/>
      <c r="V768" s="22"/>
      <c r="W768" s="22"/>
      <c r="X768" s="22"/>
      <c r="Y768" s="22"/>
      <c r="Z768" s="22"/>
      <c r="AA768" s="22"/>
      <c r="AB768" s="22"/>
      <c r="AC768" s="41"/>
      <c r="AD768" s="22"/>
    </row>
    <row r="769" spans="18:30" x14ac:dyDescent="0.25">
      <c r="R769" s="22"/>
      <c r="S769" s="22"/>
      <c r="T769" s="331"/>
      <c r="U769" s="22"/>
      <c r="V769" s="22"/>
      <c r="W769" s="22"/>
      <c r="X769" s="22"/>
      <c r="Y769" s="22"/>
      <c r="Z769" s="22"/>
      <c r="AA769" s="22"/>
      <c r="AB769" s="22"/>
      <c r="AC769" s="41"/>
      <c r="AD769" s="22"/>
    </row>
    <row r="770" spans="18:30" x14ac:dyDescent="0.25">
      <c r="R770" s="22"/>
      <c r="S770" s="22"/>
      <c r="T770" s="331"/>
      <c r="U770" s="22"/>
      <c r="V770" s="22"/>
      <c r="W770" s="22"/>
      <c r="X770" s="22"/>
      <c r="Y770" s="22"/>
      <c r="Z770" s="22"/>
      <c r="AA770" s="22"/>
      <c r="AB770" s="22"/>
      <c r="AC770" s="41"/>
      <c r="AD770" s="22"/>
    </row>
    <row r="771" spans="18:30" x14ac:dyDescent="0.25">
      <c r="R771" s="22"/>
      <c r="S771" s="22"/>
      <c r="T771" s="331"/>
      <c r="U771" s="22"/>
      <c r="V771" s="22"/>
      <c r="W771" s="22"/>
      <c r="X771" s="22"/>
      <c r="Y771" s="22"/>
      <c r="Z771" s="22"/>
      <c r="AA771" s="22"/>
      <c r="AB771" s="22"/>
      <c r="AC771" s="41"/>
      <c r="AD771" s="22"/>
    </row>
    <row r="772" spans="18:30" x14ac:dyDescent="0.25">
      <c r="R772" s="22"/>
      <c r="S772" s="22"/>
      <c r="T772" s="331"/>
      <c r="U772" s="22"/>
      <c r="V772" s="22"/>
      <c r="W772" s="22"/>
      <c r="X772" s="22"/>
      <c r="Y772" s="22"/>
      <c r="Z772" s="22"/>
      <c r="AA772" s="22"/>
      <c r="AB772" s="22"/>
      <c r="AC772" s="41"/>
      <c r="AD772" s="22"/>
    </row>
    <row r="773" spans="18:30" x14ac:dyDescent="0.25">
      <c r="R773" s="22"/>
      <c r="S773" s="22"/>
      <c r="T773" s="331"/>
      <c r="U773" s="22"/>
      <c r="V773" s="22"/>
      <c r="W773" s="22"/>
      <c r="X773" s="22"/>
      <c r="Y773" s="22"/>
      <c r="Z773" s="22"/>
      <c r="AA773" s="22"/>
      <c r="AB773" s="22"/>
      <c r="AC773" s="41"/>
      <c r="AD773" s="22"/>
    </row>
    <row r="774" spans="18:30" x14ac:dyDescent="0.25">
      <c r="R774" s="22"/>
      <c r="S774" s="22"/>
      <c r="T774" s="331"/>
      <c r="U774" s="22"/>
      <c r="V774" s="22"/>
      <c r="W774" s="22"/>
      <c r="X774" s="22"/>
      <c r="Y774" s="22"/>
      <c r="Z774" s="22"/>
      <c r="AA774" s="22"/>
      <c r="AB774" s="22"/>
      <c r="AC774" s="41"/>
      <c r="AD774" s="22"/>
    </row>
    <row r="775" spans="18:30" x14ac:dyDescent="0.25">
      <c r="R775" s="22"/>
      <c r="S775" s="22"/>
      <c r="T775" s="331"/>
      <c r="U775" s="22"/>
      <c r="V775" s="22"/>
      <c r="W775" s="22"/>
      <c r="X775" s="22"/>
      <c r="Y775" s="22"/>
      <c r="Z775" s="22"/>
      <c r="AA775" s="22"/>
      <c r="AB775" s="22"/>
      <c r="AC775" s="41"/>
      <c r="AD775" s="22"/>
    </row>
    <row r="776" spans="18:30" x14ac:dyDescent="0.25">
      <c r="R776" s="22"/>
      <c r="S776" s="22"/>
      <c r="T776" s="331"/>
      <c r="U776" s="22"/>
      <c r="V776" s="22"/>
      <c r="W776" s="22"/>
      <c r="X776" s="22"/>
      <c r="Y776" s="22"/>
      <c r="Z776" s="22"/>
      <c r="AA776" s="22"/>
      <c r="AB776" s="22"/>
      <c r="AC776" s="41"/>
      <c r="AD776" s="22"/>
    </row>
    <row r="777" spans="18:30" x14ac:dyDescent="0.25">
      <c r="R777" s="22"/>
      <c r="S777" s="22"/>
      <c r="T777" s="331"/>
      <c r="U777" s="22"/>
      <c r="V777" s="22"/>
      <c r="W777" s="22"/>
      <c r="X777" s="22"/>
      <c r="Y777" s="22"/>
      <c r="Z777" s="22"/>
      <c r="AA777" s="22"/>
      <c r="AB777" s="22"/>
      <c r="AC777" s="41"/>
      <c r="AD777" s="22"/>
    </row>
    <row r="778" spans="18:30" x14ac:dyDescent="0.25">
      <c r="R778" s="22"/>
      <c r="S778" s="22"/>
      <c r="T778" s="331"/>
      <c r="U778" s="22"/>
      <c r="V778" s="22"/>
      <c r="W778" s="22"/>
      <c r="X778" s="22"/>
      <c r="Y778" s="22"/>
      <c r="Z778" s="22"/>
      <c r="AA778" s="22"/>
      <c r="AB778" s="22"/>
      <c r="AC778" s="41"/>
      <c r="AD778" s="22"/>
    </row>
    <row r="779" spans="18:30" x14ac:dyDescent="0.25">
      <c r="R779" s="22"/>
      <c r="S779" s="22"/>
      <c r="T779" s="331"/>
      <c r="U779" s="22"/>
      <c r="V779" s="22"/>
      <c r="W779" s="22"/>
      <c r="X779" s="22"/>
      <c r="Y779" s="22"/>
      <c r="Z779" s="22"/>
      <c r="AA779" s="22"/>
      <c r="AB779" s="22"/>
      <c r="AC779" s="41"/>
      <c r="AD779" s="22"/>
    </row>
    <row r="780" spans="18:30" x14ac:dyDescent="0.25">
      <c r="R780" s="22"/>
      <c r="S780" s="22"/>
      <c r="T780" s="331"/>
      <c r="U780" s="22"/>
      <c r="V780" s="22"/>
      <c r="W780" s="22"/>
      <c r="X780" s="22"/>
      <c r="Y780" s="22"/>
      <c r="Z780" s="22"/>
      <c r="AA780" s="22"/>
      <c r="AB780" s="22"/>
      <c r="AC780" s="41"/>
      <c r="AD780" s="22"/>
    </row>
    <row r="781" spans="18:30" x14ac:dyDescent="0.25">
      <c r="R781" s="22"/>
      <c r="S781" s="22"/>
      <c r="T781" s="331"/>
      <c r="U781" s="22"/>
      <c r="V781" s="22"/>
      <c r="W781" s="22"/>
      <c r="X781" s="22"/>
      <c r="Y781" s="22"/>
      <c r="Z781" s="22"/>
      <c r="AA781" s="22"/>
      <c r="AB781" s="22"/>
      <c r="AC781" s="41"/>
      <c r="AD781" s="22"/>
    </row>
    <row r="782" spans="18:30" x14ac:dyDescent="0.25">
      <c r="R782" s="22"/>
      <c r="S782" s="22"/>
      <c r="T782" s="331"/>
      <c r="U782" s="22"/>
      <c r="V782" s="22"/>
      <c r="W782" s="22"/>
      <c r="X782" s="22"/>
      <c r="Y782" s="22"/>
      <c r="Z782" s="22"/>
      <c r="AA782" s="22"/>
      <c r="AB782" s="22"/>
      <c r="AC782" s="41"/>
      <c r="AD782" s="22"/>
    </row>
    <row r="783" spans="18:30" x14ac:dyDescent="0.25">
      <c r="R783" s="22"/>
      <c r="S783" s="22"/>
      <c r="T783" s="331"/>
      <c r="U783" s="22"/>
      <c r="V783" s="22"/>
      <c r="W783" s="22"/>
      <c r="X783" s="22"/>
      <c r="Y783" s="22"/>
      <c r="Z783" s="22"/>
      <c r="AA783" s="22"/>
      <c r="AB783" s="22"/>
      <c r="AC783" s="41"/>
      <c r="AD783" s="22"/>
    </row>
    <row r="784" spans="18:30" x14ac:dyDescent="0.25">
      <c r="R784" s="22"/>
      <c r="S784" s="22"/>
      <c r="T784" s="331"/>
      <c r="U784" s="22"/>
      <c r="V784" s="22"/>
      <c r="W784" s="22"/>
      <c r="X784" s="22"/>
      <c r="Y784" s="22"/>
      <c r="Z784" s="22"/>
      <c r="AA784" s="22"/>
      <c r="AB784" s="22"/>
      <c r="AC784" s="41"/>
      <c r="AD784" s="22"/>
    </row>
    <row r="785" spans="18:30" x14ac:dyDescent="0.25">
      <c r="R785" s="22"/>
      <c r="S785" s="22"/>
      <c r="T785" s="331"/>
      <c r="U785" s="22"/>
      <c r="V785" s="22"/>
      <c r="W785" s="22"/>
      <c r="X785" s="22"/>
      <c r="Y785" s="22"/>
      <c r="Z785" s="22"/>
      <c r="AA785" s="22"/>
      <c r="AB785" s="22"/>
      <c r="AC785" s="41"/>
      <c r="AD785" s="22"/>
    </row>
    <row r="786" spans="18:30" x14ac:dyDescent="0.25">
      <c r="R786" s="22"/>
      <c r="S786" s="22"/>
      <c r="T786" s="331"/>
      <c r="U786" s="22"/>
      <c r="V786" s="22"/>
      <c r="W786" s="22"/>
      <c r="X786" s="22"/>
      <c r="Y786" s="22"/>
      <c r="Z786" s="22"/>
      <c r="AA786" s="22"/>
      <c r="AB786" s="22"/>
      <c r="AC786" s="41"/>
      <c r="AD786" s="22"/>
    </row>
    <row r="787" spans="18:30" x14ac:dyDescent="0.25">
      <c r="R787" s="22"/>
      <c r="S787" s="22"/>
      <c r="T787" s="331"/>
      <c r="U787" s="22"/>
      <c r="V787" s="22"/>
      <c r="W787" s="22"/>
      <c r="X787" s="22"/>
      <c r="Y787" s="22"/>
      <c r="Z787" s="22"/>
      <c r="AA787" s="22"/>
      <c r="AB787" s="22"/>
      <c r="AC787" s="41"/>
      <c r="AD787" s="22"/>
    </row>
    <row r="788" spans="18:30" x14ac:dyDescent="0.25">
      <c r="R788" s="22"/>
      <c r="S788" s="22"/>
      <c r="T788" s="331"/>
      <c r="U788" s="22"/>
      <c r="V788" s="22"/>
      <c r="W788" s="22"/>
      <c r="X788" s="22"/>
      <c r="Y788" s="22"/>
      <c r="Z788" s="22"/>
      <c r="AA788" s="22"/>
      <c r="AB788" s="22"/>
      <c r="AC788" s="41"/>
      <c r="AD788" s="22"/>
    </row>
    <row r="789" spans="18:30" x14ac:dyDescent="0.25">
      <c r="R789" s="22"/>
      <c r="S789" s="22"/>
      <c r="T789" s="331"/>
      <c r="U789" s="22"/>
      <c r="V789" s="22"/>
      <c r="W789" s="22"/>
      <c r="X789" s="22"/>
      <c r="Y789" s="22"/>
      <c r="Z789" s="22"/>
      <c r="AA789" s="22"/>
      <c r="AB789" s="22"/>
      <c r="AC789" s="41"/>
      <c r="AD789" s="22"/>
    </row>
    <row r="790" spans="18:30" x14ac:dyDescent="0.25">
      <c r="R790" s="22"/>
      <c r="S790" s="22"/>
      <c r="T790" s="331"/>
      <c r="U790" s="22"/>
      <c r="V790" s="22"/>
      <c r="W790" s="22"/>
      <c r="X790" s="22"/>
      <c r="Y790" s="22"/>
      <c r="Z790" s="22"/>
      <c r="AA790" s="22"/>
      <c r="AB790" s="22"/>
      <c r="AC790" s="41"/>
      <c r="AD790" s="22"/>
    </row>
    <row r="791" spans="18:30" x14ac:dyDescent="0.25">
      <c r="R791" s="22"/>
      <c r="S791" s="22"/>
      <c r="T791" s="331"/>
      <c r="U791" s="22"/>
      <c r="V791" s="22"/>
      <c r="W791" s="22"/>
      <c r="X791" s="22"/>
      <c r="Y791" s="22"/>
      <c r="Z791" s="22"/>
      <c r="AA791" s="22"/>
      <c r="AB791" s="22"/>
      <c r="AC791" s="41"/>
      <c r="AD791" s="22"/>
    </row>
    <row r="792" spans="18:30" x14ac:dyDescent="0.25">
      <c r="R792" s="22"/>
      <c r="S792" s="22"/>
      <c r="T792" s="331"/>
      <c r="U792" s="22"/>
      <c r="V792" s="22"/>
      <c r="W792" s="22"/>
      <c r="X792" s="22"/>
      <c r="Y792" s="22"/>
      <c r="Z792" s="22"/>
      <c r="AA792" s="22"/>
      <c r="AB792" s="22"/>
      <c r="AC792" s="41"/>
      <c r="AD792" s="22"/>
    </row>
    <row r="793" spans="18:30" x14ac:dyDescent="0.25">
      <c r="R793" s="22"/>
      <c r="S793" s="22"/>
      <c r="T793" s="331"/>
      <c r="U793" s="22"/>
      <c r="V793" s="22"/>
      <c r="W793" s="22"/>
      <c r="X793" s="22"/>
      <c r="Y793" s="22"/>
      <c r="Z793" s="22"/>
      <c r="AA793" s="22"/>
      <c r="AB793" s="22"/>
      <c r="AC793" s="41"/>
      <c r="AD793" s="22"/>
    </row>
    <row r="794" spans="18:30" x14ac:dyDescent="0.25">
      <c r="R794" s="22"/>
      <c r="S794" s="22"/>
      <c r="T794" s="331"/>
      <c r="U794" s="22"/>
      <c r="V794" s="22"/>
      <c r="W794" s="22"/>
      <c r="X794" s="22"/>
      <c r="Y794" s="22"/>
      <c r="Z794" s="22"/>
      <c r="AA794" s="22"/>
      <c r="AB794" s="22"/>
      <c r="AC794" s="41"/>
      <c r="AD794" s="22"/>
    </row>
    <row r="795" spans="18:30" x14ac:dyDescent="0.25">
      <c r="R795" s="22"/>
      <c r="S795" s="22"/>
      <c r="T795" s="331"/>
      <c r="U795" s="22"/>
      <c r="V795" s="22"/>
      <c r="W795" s="22"/>
      <c r="X795" s="22"/>
      <c r="Y795" s="22"/>
      <c r="Z795" s="22"/>
      <c r="AA795" s="22"/>
      <c r="AB795" s="22"/>
      <c r="AC795" s="41"/>
      <c r="AD795" s="22"/>
    </row>
    <row r="796" spans="18:30" x14ac:dyDescent="0.25">
      <c r="R796" s="22"/>
      <c r="S796" s="22"/>
      <c r="T796" s="331"/>
      <c r="U796" s="22"/>
      <c r="V796" s="22"/>
      <c r="W796" s="22"/>
      <c r="X796" s="22"/>
      <c r="Y796" s="22"/>
      <c r="Z796" s="22"/>
      <c r="AA796" s="22"/>
      <c r="AB796" s="22"/>
      <c r="AC796" s="41"/>
      <c r="AD796" s="22"/>
    </row>
    <row r="797" spans="18:30" x14ac:dyDescent="0.25">
      <c r="R797" s="22"/>
      <c r="S797" s="22"/>
      <c r="T797" s="331"/>
      <c r="U797" s="22"/>
      <c r="V797" s="22"/>
      <c r="W797" s="22"/>
      <c r="X797" s="22"/>
      <c r="Y797" s="22"/>
      <c r="Z797" s="22"/>
      <c r="AA797" s="22"/>
      <c r="AB797" s="22"/>
      <c r="AC797" s="41"/>
      <c r="AD797" s="22"/>
    </row>
    <row r="798" spans="18:30" x14ac:dyDescent="0.25">
      <c r="R798" s="22"/>
      <c r="S798" s="22"/>
      <c r="T798" s="331"/>
      <c r="U798" s="22"/>
      <c r="V798" s="22"/>
      <c r="W798" s="22"/>
      <c r="X798" s="22"/>
      <c r="Y798" s="22"/>
      <c r="Z798" s="22"/>
      <c r="AA798" s="22"/>
      <c r="AB798" s="22"/>
      <c r="AC798" s="41"/>
      <c r="AD798" s="22"/>
    </row>
    <row r="799" spans="18:30" x14ac:dyDescent="0.25">
      <c r="R799" s="22"/>
      <c r="S799" s="22"/>
      <c r="T799" s="331"/>
      <c r="U799" s="22"/>
      <c r="V799" s="22"/>
      <c r="W799" s="22"/>
      <c r="X799" s="22"/>
      <c r="Y799" s="22"/>
      <c r="Z799" s="22"/>
      <c r="AA799" s="22"/>
      <c r="AB799" s="22"/>
      <c r="AC799" s="41"/>
      <c r="AD799" s="22"/>
    </row>
    <row r="800" spans="18:30" x14ac:dyDescent="0.25">
      <c r="R800" s="22"/>
      <c r="S800" s="22"/>
      <c r="T800" s="331"/>
      <c r="U800" s="22"/>
      <c r="V800" s="22"/>
      <c r="W800" s="22"/>
      <c r="X800" s="22"/>
      <c r="Y800" s="22"/>
      <c r="Z800" s="22"/>
      <c r="AA800" s="22"/>
      <c r="AB800" s="22"/>
      <c r="AC800" s="41"/>
      <c r="AD800" s="22"/>
    </row>
    <row r="801" spans="18:30" x14ac:dyDescent="0.25">
      <c r="R801" s="22"/>
      <c r="S801" s="22"/>
      <c r="T801" s="331"/>
      <c r="U801" s="22"/>
      <c r="V801" s="22"/>
      <c r="W801" s="22"/>
      <c r="X801" s="22"/>
      <c r="Y801" s="22"/>
      <c r="Z801" s="22"/>
      <c r="AA801" s="22"/>
      <c r="AB801" s="22"/>
      <c r="AC801" s="41"/>
      <c r="AD801" s="22"/>
    </row>
    <row r="802" spans="18:30" x14ac:dyDescent="0.25">
      <c r="R802" s="22"/>
      <c r="S802" s="22"/>
      <c r="T802" s="331"/>
      <c r="U802" s="22"/>
      <c r="V802" s="22"/>
      <c r="W802" s="22"/>
      <c r="X802" s="22"/>
      <c r="Y802" s="22"/>
      <c r="Z802" s="22"/>
      <c r="AA802" s="22"/>
      <c r="AB802" s="22"/>
      <c r="AC802" s="41"/>
      <c r="AD802" s="22"/>
    </row>
    <row r="803" spans="18:30" x14ac:dyDescent="0.25">
      <c r="R803" s="22"/>
      <c r="S803" s="22"/>
      <c r="T803" s="331"/>
      <c r="U803" s="22"/>
      <c r="V803" s="22"/>
      <c r="W803" s="22"/>
      <c r="X803" s="22"/>
      <c r="Y803" s="22"/>
      <c r="Z803" s="22"/>
      <c r="AA803" s="22"/>
      <c r="AB803" s="22"/>
      <c r="AC803" s="41"/>
      <c r="AD803" s="22"/>
    </row>
    <row r="804" spans="18:30" x14ac:dyDescent="0.25">
      <c r="R804" s="22"/>
      <c r="S804" s="22"/>
      <c r="T804" s="331"/>
      <c r="U804" s="22"/>
      <c r="V804" s="22"/>
      <c r="W804" s="22"/>
      <c r="X804" s="22"/>
      <c r="Y804" s="22"/>
      <c r="Z804" s="22"/>
      <c r="AA804" s="22"/>
      <c r="AB804" s="22"/>
      <c r="AC804" s="41"/>
      <c r="AD804" s="22"/>
    </row>
    <row r="805" spans="18:30" x14ac:dyDescent="0.25">
      <c r="R805" s="22"/>
      <c r="S805" s="22"/>
      <c r="T805" s="331"/>
      <c r="U805" s="22"/>
      <c r="V805" s="22"/>
      <c r="W805" s="22"/>
      <c r="X805" s="22"/>
      <c r="Y805" s="22"/>
      <c r="Z805" s="22"/>
      <c r="AA805" s="22"/>
      <c r="AB805" s="22"/>
      <c r="AC805" s="41"/>
      <c r="AD805" s="22"/>
    </row>
    <row r="806" spans="18:30" x14ac:dyDescent="0.25">
      <c r="R806" s="22"/>
      <c r="S806" s="22"/>
      <c r="T806" s="331"/>
      <c r="U806" s="22"/>
      <c r="V806" s="22"/>
      <c r="W806" s="22"/>
      <c r="X806" s="22"/>
      <c r="Y806" s="22"/>
      <c r="Z806" s="22"/>
      <c r="AA806" s="22"/>
      <c r="AB806" s="22"/>
      <c r="AC806" s="41"/>
      <c r="AD806" s="22"/>
    </row>
    <row r="807" spans="18:30" x14ac:dyDescent="0.25">
      <c r="R807" s="22"/>
      <c r="S807" s="22"/>
      <c r="T807" s="331"/>
      <c r="U807" s="22"/>
      <c r="V807" s="22"/>
      <c r="W807" s="22"/>
      <c r="X807" s="22"/>
      <c r="Y807" s="22"/>
      <c r="Z807" s="22"/>
      <c r="AA807" s="22"/>
      <c r="AB807" s="22"/>
      <c r="AC807" s="41"/>
      <c r="AD807" s="22"/>
    </row>
    <row r="808" spans="18:30" x14ac:dyDescent="0.25">
      <c r="R808" s="22"/>
      <c r="S808" s="22"/>
      <c r="T808" s="331"/>
      <c r="U808" s="22"/>
      <c r="V808" s="22"/>
      <c r="W808" s="22"/>
      <c r="X808" s="22"/>
      <c r="Y808" s="22"/>
      <c r="Z808" s="22"/>
      <c r="AA808" s="22"/>
      <c r="AB808" s="22"/>
      <c r="AC808" s="41"/>
      <c r="AD808" s="22"/>
    </row>
    <row r="809" spans="18:30" x14ac:dyDescent="0.25">
      <c r="R809" s="22"/>
      <c r="S809" s="22"/>
      <c r="T809" s="331"/>
      <c r="U809" s="22"/>
      <c r="V809" s="22"/>
      <c r="W809" s="22"/>
      <c r="X809" s="22"/>
      <c r="Y809" s="22"/>
      <c r="Z809" s="22"/>
      <c r="AA809" s="22"/>
      <c r="AB809" s="22"/>
      <c r="AC809" s="41"/>
      <c r="AD809" s="22"/>
    </row>
    <row r="810" spans="18:30" x14ac:dyDescent="0.25">
      <c r="R810" s="22"/>
      <c r="S810" s="22"/>
      <c r="T810" s="331"/>
      <c r="U810" s="22"/>
      <c r="V810" s="22"/>
      <c r="W810" s="22"/>
      <c r="X810" s="22"/>
      <c r="Y810" s="22"/>
      <c r="Z810" s="22"/>
      <c r="AA810" s="22"/>
      <c r="AB810" s="22"/>
      <c r="AC810" s="41"/>
      <c r="AD810" s="22"/>
    </row>
    <row r="811" spans="18:30" x14ac:dyDescent="0.25">
      <c r="R811" s="22"/>
      <c r="S811" s="22"/>
      <c r="T811" s="331"/>
      <c r="U811" s="22"/>
      <c r="V811" s="22"/>
      <c r="W811" s="22"/>
      <c r="X811" s="22"/>
      <c r="Y811" s="22"/>
      <c r="Z811" s="22"/>
      <c r="AA811" s="22"/>
      <c r="AB811" s="22"/>
      <c r="AC811" s="41"/>
      <c r="AD811" s="22"/>
    </row>
    <row r="812" spans="18:30" x14ac:dyDescent="0.25">
      <c r="R812" s="22"/>
      <c r="S812" s="22"/>
      <c r="T812" s="331"/>
      <c r="U812" s="22"/>
      <c r="V812" s="22"/>
      <c r="W812" s="22"/>
      <c r="X812" s="22"/>
      <c r="Y812" s="22"/>
      <c r="Z812" s="22"/>
      <c r="AA812" s="22"/>
      <c r="AB812" s="22"/>
      <c r="AC812" s="41"/>
      <c r="AD812" s="22"/>
    </row>
    <row r="813" spans="18:30" x14ac:dyDescent="0.25">
      <c r="R813" s="22"/>
      <c r="S813" s="22"/>
      <c r="T813" s="331"/>
      <c r="U813" s="22"/>
      <c r="V813" s="22"/>
      <c r="W813" s="22"/>
      <c r="X813" s="22"/>
      <c r="Y813" s="22"/>
      <c r="Z813" s="22"/>
      <c r="AA813" s="22"/>
      <c r="AB813" s="22"/>
      <c r="AC813" s="41"/>
      <c r="AD813" s="22"/>
    </row>
    <row r="814" spans="18:30" x14ac:dyDescent="0.25">
      <c r="R814" s="22"/>
      <c r="S814" s="22"/>
      <c r="T814" s="331"/>
      <c r="U814" s="22"/>
      <c r="V814" s="22"/>
      <c r="W814" s="22"/>
      <c r="X814" s="22"/>
      <c r="Y814" s="22"/>
      <c r="Z814" s="22"/>
      <c r="AA814" s="22"/>
      <c r="AB814" s="22"/>
      <c r="AC814" s="41"/>
      <c r="AD814" s="22"/>
    </row>
    <row r="815" spans="18:30" x14ac:dyDescent="0.25">
      <c r="R815" s="22"/>
      <c r="S815" s="22"/>
      <c r="T815" s="331"/>
      <c r="U815" s="22"/>
      <c r="V815" s="22"/>
      <c r="W815" s="22"/>
      <c r="X815" s="22"/>
      <c r="Y815" s="22"/>
      <c r="Z815" s="22"/>
      <c r="AA815" s="22"/>
      <c r="AB815" s="22"/>
      <c r="AC815" s="41"/>
      <c r="AD815" s="22"/>
    </row>
    <row r="816" spans="18:30" x14ac:dyDescent="0.25">
      <c r="R816" s="22"/>
      <c r="S816" s="22"/>
      <c r="T816" s="331"/>
      <c r="U816" s="22"/>
      <c r="V816" s="22"/>
      <c r="W816" s="22"/>
      <c r="X816" s="22"/>
      <c r="Y816" s="22"/>
      <c r="Z816" s="22"/>
      <c r="AA816" s="22"/>
      <c r="AB816" s="22"/>
      <c r="AC816" s="41"/>
      <c r="AD816" s="22"/>
    </row>
    <row r="817" spans="18:30" x14ac:dyDescent="0.25">
      <c r="R817" s="22"/>
      <c r="S817" s="22"/>
      <c r="T817" s="331"/>
      <c r="U817" s="22"/>
      <c r="V817" s="22"/>
      <c r="W817" s="22"/>
      <c r="X817" s="22"/>
      <c r="Y817" s="22"/>
      <c r="Z817" s="22"/>
      <c r="AA817" s="22"/>
      <c r="AB817" s="22"/>
      <c r="AC817" s="41"/>
      <c r="AD817" s="22"/>
    </row>
    <row r="818" spans="18:30" x14ac:dyDescent="0.25">
      <c r="R818" s="22"/>
      <c r="S818" s="22"/>
      <c r="T818" s="331"/>
      <c r="U818" s="22"/>
      <c r="V818" s="22"/>
      <c r="W818" s="22"/>
      <c r="X818" s="22"/>
      <c r="Y818" s="22"/>
      <c r="Z818" s="22"/>
      <c r="AA818" s="22"/>
      <c r="AB818" s="22"/>
      <c r="AC818" s="41"/>
      <c r="AD818" s="22"/>
    </row>
    <row r="819" spans="18:30" x14ac:dyDescent="0.25">
      <c r="R819" s="22"/>
      <c r="S819" s="22"/>
      <c r="T819" s="331"/>
      <c r="U819" s="22"/>
      <c r="V819" s="22"/>
      <c r="W819" s="22"/>
      <c r="X819" s="22"/>
      <c r="Y819" s="22"/>
      <c r="Z819" s="22"/>
      <c r="AA819" s="22"/>
      <c r="AB819" s="22"/>
      <c r="AC819" s="41"/>
      <c r="AD819" s="22"/>
    </row>
    <row r="820" spans="18:30" x14ac:dyDescent="0.25">
      <c r="R820" s="22"/>
      <c r="S820" s="22"/>
      <c r="T820" s="331"/>
      <c r="U820" s="22"/>
      <c r="V820" s="22"/>
      <c r="W820" s="22"/>
      <c r="X820" s="22"/>
      <c r="Y820" s="22"/>
      <c r="Z820" s="22"/>
      <c r="AA820" s="22"/>
      <c r="AB820" s="22"/>
      <c r="AC820" s="41"/>
      <c r="AD820" s="22"/>
    </row>
    <row r="821" spans="18:30" x14ac:dyDescent="0.25">
      <c r="R821" s="22"/>
      <c r="S821" s="22"/>
      <c r="T821" s="331"/>
      <c r="U821" s="22"/>
      <c r="V821" s="22"/>
      <c r="W821" s="22"/>
      <c r="X821" s="22"/>
      <c r="Y821" s="22"/>
      <c r="Z821" s="22"/>
      <c r="AA821" s="22"/>
      <c r="AB821" s="22"/>
      <c r="AC821" s="41"/>
      <c r="AD821" s="22"/>
    </row>
    <row r="822" spans="18:30" x14ac:dyDescent="0.25">
      <c r="R822" s="22"/>
      <c r="S822" s="22"/>
      <c r="T822" s="331"/>
      <c r="U822" s="22"/>
      <c r="V822" s="22"/>
      <c r="W822" s="22"/>
      <c r="X822" s="22"/>
      <c r="Y822" s="22"/>
      <c r="Z822" s="22"/>
      <c r="AA822" s="22"/>
      <c r="AB822" s="22"/>
      <c r="AC822" s="41"/>
      <c r="AD822" s="22"/>
    </row>
    <row r="823" spans="18:30" x14ac:dyDescent="0.25">
      <c r="R823" s="22"/>
      <c r="S823" s="22"/>
      <c r="T823" s="331"/>
      <c r="U823" s="22"/>
      <c r="V823" s="22"/>
      <c r="W823" s="22"/>
      <c r="X823" s="22"/>
      <c r="Y823" s="22"/>
      <c r="Z823" s="22"/>
      <c r="AA823" s="22"/>
      <c r="AB823" s="22"/>
      <c r="AC823" s="41"/>
      <c r="AD823" s="22"/>
    </row>
    <row r="824" spans="18:30" x14ac:dyDescent="0.25">
      <c r="R824" s="22"/>
      <c r="S824" s="22"/>
      <c r="T824" s="331"/>
      <c r="U824" s="22"/>
      <c r="V824" s="22"/>
      <c r="W824" s="22"/>
      <c r="X824" s="22"/>
      <c r="Y824" s="22"/>
      <c r="Z824" s="22"/>
      <c r="AA824" s="22"/>
      <c r="AB824" s="22"/>
      <c r="AC824" s="41"/>
      <c r="AD824" s="22"/>
    </row>
    <row r="825" spans="18:30" x14ac:dyDescent="0.25">
      <c r="R825" s="22"/>
      <c r="S825" s="22"/>
      <c r="T825" s="331"/>
      <c r="U825" s="22"/>
      <c r="V825" s="22"/>
      <c r="W825" s="22"/>
      <c r="X825" s="22"/>
      <c r="Y825" s="22"/>
      <c r="Z825" s="22"/>
      <c r="AA825" s="22"/>
      <c r="AB825" s="22"/>
      <c r="AC825" s="41"/>
      <c r="AD825" s="22"/>
    </row>
    <row r="826" spans="18:30" x14ac:dyDescent="0.25">
      <c r="R826" s="22"/>
      <c r="S826" s="22"/>
      <c r="T826" s="331"/>
      <c r="U826" s="22"/>
      <c r="V826" s="22"/>
      <c r="W826" s="22"/>
      <c r="X826" s="22"/>
      <c r="Y826" s="22"/>
      <c r="Z826" s="22"/>
      <c r="AA826" s="22"/>
      <c r="AB826" s="22"/>
      <c r="AC826" s="41"/>
      <c r="AD826" s="22"/>
    </row>
    <row r="827" spans="18:30" x14ac:dyDescent="0.25">
      <c r="R827" s="22"/>
      <c r="S827" s="22"/>
      <c r="T827" s="331"/>
      <c r="U827" s="22"/>
      <c r="V827" s="22"/>
      <c r="W827" s="22"/>
      <c r="X827" s="22"/>
      <c r="Y827" s="22"/>
      <c r="Z827" s="22"/>
      <c r="AA827" s="22"/>
      <c r="AB827" s="22"/>
      <c r="AC827" s="41"/>
      <c r="AD827" s="22"/>
    </row>
    <row r="828" spans="18:30" x14ac:dyDescent="0.25">
      <c r="R828" s="22"/>
      <c r="S828" s="22"/>
      <c r="T828" s="331"/>
      <c r="U828" s="22"/>
      <c r="V828" s="22"/>
      <c r="W828" s="22"/>
      <c r="X828" s="22"/>
      <c r="Y828" s="22"/>
      <c r="Z828" s="22"/>
      <c r="AA828" s="22"/>
      <c r="AB828" s="22"/>
      <c r="AC828" s="41"/>
      <c r="AD828" s="22"/>
    </row>
    <row r="829" spans="18:30" x14ac:dyDescent="0.25">
      <c r="R829" s="22"/>
      <c r="S829" s="22"/>
      <c r="T829" s="331"/>
      <c r="U829" s="22"/>
      <c r="V829" s="22"/>
      <c r="W829" s="22"/>
      <c r="X829" s="22"/>
      <c r="Y829" s="22"/>
      <c r="Z829" s="22"/>
      <c r="AA829" s="22"/>
      <c r="AB829" s="22"/>
      <c r="AC829" s="41"/>
      <c r="AD829" s="22"/>
    </row>
    <row r="830" spans="18:30" x14ac:dyDescent="0.25">
      <c r="R830" s="22"/>
      <c r="S830" s="22"/>
      <c r="T830" s="331"/>
      <c r="U830" s="22"/>
      <c r="V830" s="22"/>
      <c r="W830" s="22"/>
      <c r="X830" s="22"/>
      <c r="Y830" s="22"/>
      <c r="Z830" s="22"/>
      <c r="AA830" s="22"/>
      <c r="AB830" s="22"/>
      <c r="AC830" s="41"/>
      <c r="AD830" s="22"/>
    </row>
    <row r="831" spans="18:30" x14ac:dyDescent="0.25">
      <c r="R831" s="22"/>
      <c r="S831" s="22"/>
      <c r="T831" s="331"/>
      <c r="U831" s="22"/>
      <c r="V831" s="22"/>
      <c r="W831" s="22"/>
      <c r="X831" s="22"/>
      <c r="Y831" s="22"/>
      <c r="Z831" s="22"/>
      <c r="AA831" s="22"/>
      <c r="AB831" s="22"/>
      <c r="AC831" s="41"/>
      <c r="AD831" s="22"/>
    </row>
    <row r="832" spans="18:30" x14ac:dyDescent="0.25">
      <c r="R832" s="22"/>
      <c r="S832" s="22"/>
      <c r="T832" s="331"/>
      <c r="U832" s="22"/>
      <c r="V832" s="22"/>
      <c r="W832" s="22"/>
      <c r="X832" s="22"/>
      <c r="Y832" s="22"/>
      <c r="Z832" s="22"/>
      <c r="AA832" s="22"/>
      <c r="AB832" s="22"/>
      <c r="AC832" s="41"/>
      <c r="AD832" s="22"/>
    </row>
    <row r="833" spans="18:30" x14ac:dyDescent="0.25">
      <c r="R833" s="22"/>
      <c r="S833" s="22"/>
      <c r="T833" s="331"/>
      <c r="U833" s="22"/>
      <c r="V833" s="22"/>
      <c r="W833" s="22"/>
      <c r="X833" s="22"/>
      <c r="Y833" s="22"/>
      <c r="Z833" s="22"/>
      <c r="AA833" s="22"/>
      <c r="AB833" s="22"/>
      <c r="AC833" s="41"/>
      <c r="AD833" s="22"/>
    </row>
    <row r="834" spans="18:30" x14ac:dyDescent="0.25">
      <c r="R834" s="22"/>
      <c r="S834" s="22"/>
      <c r="T834" s="331"/>
      <c r="U834" s="22"/>
      <c r="V834" s="22"/>
      <c r="W834" s="22"/>
      <c r="X834" s="22"/>
      <c r="Y834" s="22"/>
      <c r="Z834" s="22"/>
      <c r="AA834" s="22"/>
      <c r="AB834" s="22"/>
      <c r="AC834" s="41"/>
      <c r="AD834" s="22"/>
    </row>
    <row r="835" spans="18:30" x14ac:dyDescent="0.25">
      <c r="R835" s="22"/>
      <c r="S835" s="22"/>
      <c r="T835" s="331"/>
      <c r="U835" s="22"/>
      <c r="V835" s="22"/>
      <c r="W835" s="22"/>
      <c r="X835" s="22"/>
      <c r="Y835" s="22"/>
      <c r="Z835" s="22"/>
      <c r="AA835" s="22"/>
      <c r="AB835" s="22"/>
      <c r="AC835" s="41"/>
      <c r="AD835" s="22"/>
    </row>
    <row r="836" spans="18:30" x14ac:dyDescent="0.25">
      <c r="R836" s="22"/>
      <c r="S836" s="22"/>
      <c r="T836" s="331"/>
      <c r="U836" s="22"/>
      <c r="V836" s="22"/>
      <c r="W836" s="22"/>
      <c r="X836" s="22"/>
      <c r="Y836" s="22"/>
      <c r="Z836" s="22"/>
      <c r="AA836" s="22"/>
      <c r="AB836" s="22"/>
      <c r="AC836" s="41"/>
      <c r="AD836" s="22"/>
    </row>
    <row r="837" spans="18:30" x14ac:dyDescent="0.25">
      <c r="R837" s="22"/>
      <c r="S837" s="22"/>
      <c r="T837" s="331"/>
      <c r="U837" s="22"/>
      <c r="V837" s="22"/>
      <c r="W837" s="22"/>
      <c r="X837" s="22"/>
      <c r="Y837" s="22"/>
      <c r="Z837" s="22"/>
      <c r="AA837" s="22"/>
      <c r="AB837" s="22"/>
      <c r="AC837" s="41"/>
      <c r="AD837" s="22"/>
    </row>
    <row r="838" spans="18:30" x14ac:dyDescent="0.25">
      <c r="R838" s="22"/>
      <c r="S838" s="22"/>
      <c r="T838" s="331"/>
      <c r="U838" s="22"/>
      <c r="V838" s="22"/>
      <c r="W838" s="22"/>
      <c r="X838" s="22"/>
      <c r="Y838" s="22"/>
      <c r="Z838" s="22"/>
      <c r="AA838" s="22"/>
      <c r="AB838" s="22"/>
      <c r="AC838" s="41"/>
      <c r="AD838" s="22"/>
    </row>
    <row r="839" spans="18:30" x14ac:dyDescent="0.25">
      <c r="R839" s="22"/>
      <c r="S839" s="22"/>
      <c r="T839" s="331"/>
      <c r="U839" s="22"/>
      <c r="V839" s="22"/>
      <c r="W839" s="22"/>
      <c r="X839" s="22"/>
      <c r="Y839" s="22"/>
      <c r="Z839" s="22"/>
      <c r="AA839" s="22"/>
      <c r="AB839" s="22"/>
      <c r="AC839" s="41"/>
      <c r="AD839" s="22"/>
    </row>
    <row r="840" spans="18:30" x14ac:dyDescent="0.25">
      <c r="R840" s="22"/>
      <c r="S840" s="22"/>
      <c r="T840" s="331"/>
      <c r="U840" s="22"/>
      <c r="V840" s="22"/>
      <c r="W840" s="22"/>
      <c r="X840" s="22"/>
      <c r="Y840" s="22"/>
      <c r="Z840" s="22"/>
      <c r="AA840" s="22"/>
      <c r="AB840" s="22"/>
      <c r="AC840" s="41"/>
      <c r="AD840" s="22"/>
    </row>
    <row r="841" spans="18:30" x14ac:dyDescent="0.25">
      <c r="R841" s="22"/>
      <c r="S841" s="22"/>
      <c r="T841" s="331"/>
      <c r="U841" s="22"/>
      <c r="V841" s="22"/>
      <c r="W841" s="22"/>
      <c r="X841" s="22"/>
      <c r="Y841" s="22"/>
      <c r="Z841" s="22"/>
      <c r="AA841" s="22"/>
      <c r="AB841" s="22"/>
      <c r="AC841" s="41"/>
      <c r="AD841" s="22"/>
    </row>
    <row r="842" spans="18:30" x14ac:dyDescent="0.25">
      <c r="R842" s="22"/>
      <c r="S842" s="22"/>
      <c r="T842" s="331"/>
      <c r="U842" s="22"/>
      <c r="V842" s="22"/>
      <c r="W842" s="22"/>
      <c r="X842" s="22"/>
      <c r="Y842" s="22"/>
      <c r="Z842" s="22"/>
      <c r="AA842" s="22"/>
      <c r="AB842" s="22"/>
      <c r="AC842" s="41"/>
      <c r="AD842" s="22"/>
    </row>
    <row r="843" spans="18:30" x14ac:dyDescent="0.25">
      <c r="R843" s="22"/>
      <c r="S843" s="22"/>
      <c r="T843" s="331"/>
      <c r="U843" s="22"/>
      <c r="V843" s="22"/>
      <c r="W843" s="22"/>
      <c r="X843" s="22"/>
      <c r="Y843" s="22"/>
      <c r="Z843" s="22"/>
      <c r="AA843" s="22"/>
      <c r="AB843" s="22"/>
      <c r="AC843" s="41"/>
      <c r="AD843" s="22"/>
    </row>
    <row r="844" spans="18:30" x14ac:dyDescent="0.25">
      <c r="R844" s="22"/>
      <c r="S844" s="22"/>
      <c r="T844" s="331"/>
      <c r="U844" s="22"/>
      <c r="V844" s="22"/>
      <c r="W844" s="22"/>
      <c r="X844" s="22"/>
      <c r="Y844" s="22"/>
      <c r="Z844" s="22"/>
      <c r="AA844" s="22"/>
      <c r="AB844" s="22"/>
      <c r="AC844" s="41"/>
      <c r="AD844" s="22"/>
    </row>
    <row r="845" spans="18:30" x14ac:dyDescent="0.25">
      <c r="R845" s="22"/>
      <c r="S845" s="22"/>
      <c r="T845" s="331"/>
      <c r="U845" s="22"/>
      <c r="V845" s="22"/>
      <c r="W845" s="22"/>
      <c r="X845" s="22"/>
      <c r="Y845" s="22"/>
      <c r="Z845" s="22"/>
      <c r="AA845" s="22"/>
      <c r="AB845" s="22"/>
      <c r="AC845" s="41"/>
      <c r="AD845" s="22"/>
    </row>
    <row r="846" spans="18:30" x14ac:dyDescent="0.25">
      <c r="R846" s="22"/>
      <c r="S846" s="22"/>
      <c r="T846" s="331"/>
      <c r="U846" s="22"/>
      <c r="V846" s="22"/>
      <c r="W846" s="22"/>
      <c r="X846" s="22"/>
      <c r="Y846" s="22"/>
      <c r="Z846" s="22"/>
      <c r="AA846" s="22"/>
      <c r="AB846" s="22"/>
      <c r="AC846" s="41"/>
      <c r="AD846" s="22"/>
    </row>
    <row r="847" spans="18:30" x14ac:dyDescent="0.25">
      <c r="R847" s="22"/>
      <c r="S847" s="22"/>
      <c r="T847" s="331"/>
      <c r="U847" s="22"/>
      <c r="V847" s="22"/>
      <c r="W847" s="22"/>
      <c r="X847" s="22"/>
      <c r="Y847" s="22"/>
      <c r="Z847" s="22"/>
      <c r="AA847" s="22"/>
      <c r="AB847" s="22"/>
      <c r="AC847" s="41"/>
      <c r="AD847" s="22"/>
    </row>
    <row r="848" spans="18:30" x14ac:dyDescent="0.25">
      <c r="R848" s="22"/>
      <c r="S848" s="22"/>
      <c r="T848" s="331"/>
      <c r="U848" s="22"/>
      <c r="V848" s="22"/>
      <c r="W848" s="22"/>
      <c r="X848" s="22"/>
      <c r="Y848" s="22"/>
      <c r="Z848" s="22"/>
      <c r="AA848" s="22"/>
      <c r="AB848" s="22"/>
      <c r="AC848" s="41"/>
      <c r="AD848" s="22"/>
    </row>
    <row r="849" spans="18:30" x14ac:dyDescent="0.25">
      <c r="R849" s="22"/>
      <c r="S849" s="22"/>
      <c r="T849" s="331"/>
      <c r="U849" s="22"/>
      <c r="V849" s="22"/>
      <c r="W849" s="22"/>
      <c r="X849" s="22"/>
      <c r="Y849" s="22"/>
      <c r="Z849" s="22"/>
      <c r="AA849" s="22"/>
      <c r="AB849" s="22"/>
      <c r="AC849" s="41"/>
      <c r="AD849" s="22"/>
    </row>
    <row r="850" spans="18:30" x14ac:dyDescent="0.25">
      <c r="R850" s="22"/>
      <c r="S850" s="22"/>
      <c r="T850" s="331"/>
      <c r="U850" s="22"/>
      <c r="V850" s="22"/>
      <c r="W850" s="22"/>
      <c r="X850" s="22"/>
      <c r="Y850" s="22"/>
      <c r="Z850" s="22"/>
      <c r="AA850" s="22"/>
      <c r="AB850" s="22"/>
      <c r="AC850" s="41"/>
      <c r="AD850" s="22"/>
    </row>
    <row r="851" spans="18:30" x14ac:dyDescent="0.25">
      <c r="R851" s="22"/>
      <c r="S851" s="22"/>
      <c r="T851" s="331"/>
      <c r="U851" s="22"/>
      <c r="V851" s="22"/>
      <c r="W851" s="22"/>
      <c r="X851" s="22"/>
      <c r="Y851" s="22"/>
      <c r="Z851" s="22"/>
      <c r="AA851" s="22"/>
      <c r="AB851" s="22"/>
      <c r="AC851" s="41"/>
      <c r="AD851" s="22"/>
    </row>
    <row r="852" spans="18:30" x14ac:dyDescent="0.25">
      <c r="R852" s="22"/>
      <c r="S852" s="22"/>
      <c r="T852" s="331"/>
      <c r="U852" s="22"/>
      <c r="V852" s="22"/>
      <c r="W852" s="22"/>
      <c r="X852" s="22"/>
      <c r="Y852" s="22"/>
      <c r="Z852" s="22"/>
      <c r="AA852" s="22"/>
      <c r="AB852" s="22"/>
      <c r="AC852" s="41"/>
      <c r="AD852" s="22"/>
    </row>
    <row r="853" spans="18:30" x14ac:dyDescent="0.25">
      <c r="R853" s="22"/>
      <c r="S853" s="22"/>
      <c r="T853" s="331"/>
      <c r="U853" s="22"/>
      <c r="V853" s="22"/>
      <c r="W853" s="22"/>
      <c r="X853" s="22"/>
      <c r="Y853" s="22"/>
      <c r="Z853" s="22"/>
      <c r="AA853" s="22"/>
      <c r="AB853" s="22"/>
      <c r="AC853" s="41"/>
      <c r="AD853" s="22"/>
    </row>
    <row r="854" spans="18:30" x14ac:dyDescent="0.25">
      <c r="R854" s="22"/>
      <c r="S854" s="22"/>
      <c r="T854" s="331"/>
      <c r="U854" s="22"/>
      <c r="V854" s="22"/>
      <c r="W854" s="22"/>
      <c r="X854" s="22"/>
      <c r="Y854" s="22"/>
      <c r="Z854" s="22"/>
      <c r="AA854" s="22"/>
      <c r="AB854" s="22"/>
      <c r="AC854" s="41"/>
      <c r="AD854" s="22"/>
    </row>
    <row r="855" spans="18:30" x14ac:dyDescent="0.25">
      <c r="R855" s="22"/>
      <c r="S855" s="22"/>
      <c r="T855" s="331"/>
      <c r="U855" s="22"/>
      <c r="V855" s="22"/>
      <c r="W855" s="22"/>
      <c r="X855" s="22"/>
      <c r="Y855" s="22"/>
      <c r="Z855" s="22"/>
      <c r="AA855" s="22"/>
      <c r="AB855" s="22"/>
      <c r="AC855" s="41"/>
      <c r="AD855" s="22"/>
    </row>
    <row r="856" spans="18:30" x14ac:dyDescent="0.25">
      <c r="R856" s="22"/>
      <c r="S856" s="22"/>
      <c r="T856" s="331"/>
      <c r="U856" s="22"/>
      <c r="V856" s="22"/>
      <c r="W856" s="22"/>
      <c r="X856" s="22"/>
      <c r="Y856" s="22"/>
      <c r="Z856" s="22"/>
      <c r="AA856" s="22"/>
      <c r="AB856" s="22"/>
      <c r="AC856" s="41"/>
      <c r="AD856" s="22"/>
    </row>
    <row r="857" spans="18:30" x14ac:dyDescent="0.25">
      <c r="R857" s="22"/>
      <c r="S857" s="22"/>
      <c r="T857" s="331"/>
      <c r="U857" s="22"/>
      <c r="V857" s="22"/>
      <c r="W857" s="22"/>
      <c r="X857" s="22"/>
      <c r="Y857" s="22"/>
      <c r="Z857" s="22"/>
      <c r="AA857" s="22"/>
      <c r="AB857" s="22"/>
      <c r="AC857" s="41"/>
      <c r="AD857" s="22"/>
    </row>
    <row r="858" spans="18:30" x14ac:dyDescent="0.25">
      <c r="R858" s="22"/>
      <c r="S858" s="22"/>
      <c r="T858" s="331"/>
      <c r="U858" s="22"/>
      <c r="V858" s="22"/>
      <c r="W858" s="22"/>
      <c r="X858" s="22"/>
      <c r="Y858" s="22"/>
      <c r="Z858" s="22"/>
      <c r="AA858" s="22"/>
      <c r="AB858" s="22"/>
      <c r="AC858" s="41"/>
      <c r="AD858" s="22"/>
    </row>
    <row r="859" spans="18:30" x14ac:dyDescent="0.25">
      <c r="R859" s="22"/>
      <c r="S859" s="22"/>
      <c r="T859" s="331"/>
      <c r="U859" s="22"/>
      <c r="V859" s="22"/>
      <c r="W859" s="22"/>
      <c r="X859" s="22"/>
      <c r="Y859" s="22"/>
      <c r="Z859" s="22"/>
      <c r="AA859" s="22"/>
      <c r="AB859" s="22"/>
      <c r="AC859" s="41"/>
      <c r="AD859" s="22"/>
    </row>
    <row r="860" spans="18:30" x14ac:dyDescent="0.25">
      <c r="R860" s="22"/>
      <c r="S860" s="22"/>
      <c r="T860" s="331"/>
      <c r="U860" s="22"/>
      <c r="V860" s="22"/>
      <c r="W860" s="22"/>
      <c r="X860" s="22"/>
      <c r="Y860" s="22"/>
      <c r="Z860" s="22"/>
      <c r="AA860" s="22"/>
      <c r="AB860" s="22"/>
      <c r="AC860" s="41"/>
      <c r="AD860" s="22"/>
    </row>
    <row r="861" spans="18:30" x14ac:dyDescent="0.25">
      <c r="R861" s="22"/>
      <c r="S861" s="22"/>
      <c r="T861" s="331"/>
      <c r="U861" s="22"/>
      <c r="V861" s="22"/>
      <c r="W861" s="22"/>
      <c r="X861" s="22"/>
      <c r="Y861" s="22"/>
      <c r="Z861" s="22"/>
      <c r="AA861" s="22"/>
      <c r="AB861" s="22"/>
      <c r="AC861" s="41"/>
      <c r="AD861" s="22"/>
    </row>
    <row r="862" spans="18:30" x14ac:dyDescent="0.25">
      <c r="R862" s="22"/>
      <c r="S862" s="22"/>
      <c r="T862" s="331"/>
      <c r="U862" s="22"/>
      <c r="V862" s="22"/>
      <c r="W862" s="22"/>
      <c r="X862" s="22"/>
      <c r="Y862" s="22"/>
      <c r="Z862" s="22"/>
      <c r="AA862" s="22"/>
      <c r="AB862" s="22"/>
      <c r="AC862" s="41"/>
      <c r="AD862" s="22"/>
    </row>
    <row r="863" spans="18:30" x14ac:dyDescent="0.25">
      <c r="R863" s="22"/>
      <c r="S863" s="22"/>
      <c r="T863" s="331"/>
      <c r="U863" s="22"/>
      <c r="V863" s="22"/>
      <c r="W863" s="22"/>
      <c r="X863" s="22"/>
      <c r="Y863" s="22"/>
      <c r="Z863" s="22"/>
      <c r="AA863" s="22"/>
      <c r="AB863" s="22"/>
      <c r="AC863" s="41"/>
      <c r="AD863" s="22"/>
    </row>
    <row r="864" spans="18:30" x14ac:dyDescent="0.25">
      <c r="R864" s="22"/>
      <c r="S864" s="22"/>
      <c r="T864" s="331"/>
      <c r="U864" s="22"/>
      <c r="V864" s="22"/>
      <c r="W864" s="22"/>
      <c r="X864" s="22"/>
      <c r="Y864" s="22"/>
      <c r="Z864" s="22"/>
      <c r="AA864" s="22"/>
      <c r="AB864" s="22"/>
      <c r="AC864" s="41"/>
      <c r="AD864" s="22"/>
    </row>
    <row r="865" spans="18:30" x14ac:dyDescent="0.25">
      <c r="R865" s="22"/>
      <c r="S865" s="22"/>
      <c r="T865" s="331"/>
      <c r="U865" s="22"/>
      <c r="V865" s="22"/>
      <c r="W865" s="22"/>
      <c r="X865" s="22"/>
      <c r="Y865" s="22"/>
      <c r="Z865" s="22"/>
      <c r="AA865" s="22"/>
      <c r="AB865" s="22"/>
      <c r="AC865" s="41"/>
      <c r="AD865" s="22"/>
    </row>
    <row r="866" spans="18:30" x14ac:dyDescent="0.25">
      <c r="R866" s="22"/>
      <c r="S866" s="22"/>
      <c r="T866" s="331"/>
      <c r="U866" s="22"/>
      <c r="V866" s="22"/>
      <c r="W866" s="22"/>
      <c r="X866" s="22"/>
      <c r="Y866" s="22"/>
      <c r="Z866" s="22"/>
      <c r="AA866" s="22"/>
      <c r="AB866" s="22"/>
      <c r="AC866" s="41"/>
      <c r="AD866" s="22"/>
    </row>
    <row r="867" spans="18:30" x14ac:dyDescent="0.25">
      <c r="R867" s="22"/>
      <c r="S867" s="22"/>
      <c r="T867" s="331"/>
      <c r="U867" s="22"/>
      <c r="V867" s="22"/>
      <c r="W867" s="22"/>
      <c r="X867" s="22"/>
      <c r="Y867" s="22"/>
      <c r="Z867" s="22"/>
      <c r="AA867" s="22"/>
      <c r="AB867" s="22"/>
      <c r="AC867" s="41"/>
      <c r="AD867" s="22"/>
    </row>
    <row r="868" spans="18:30" x14ac:dyDescent="0.25">
      <c r="R868" s="22"/>
      <c r="S868" s="22"/>
      <c r="T868" s="331"/>
      <c r="U868" s="22"/>
      <c r="V868" s="22"/>
      <c r="W868" s="22"/>
      <c r="X868" s="22"/>
      <c r="Y868" s="22"/>
      <c r="Z868" s="22"/>
      <c r="AA868" s="22"/>
      <c r="AB868" s="22"/>
      <c r="AC868" s="41"/>
      <c r="AD868" s="22"/>
    </row>
    <row r="869" spans="18:30" x14ac:dyDescent="0.25">
      <c r="R869" s="22"/>
      <c r="S869" s="22"/>
      <c r="T869" s="331"/>
      <c r="U869" s="22"/>
      <c r="V869" s="22"/>
      <c r="W869" s="22"/>
      <c r="X869" s="22"/>
      <c r="Y869" s="22"/>
      <c r="Z869" s="22"/>
      <c r="AA869" s="22"/>
      <c r="AB869" s="22"/>
      <c r="AC869" s="41"/>
      <c r="AD869" s="22"/>
    </row>
    <row r="870" spans="18:30" x14ac:dyDescent="0.25">
      <c r="R870" s="22"/>
      <c r="S870" s="22"/>
      <c r="T870" s="331"/>
      <c r="U870" s="22"/>
      <c r="V870" s="22"/>
      <c r="W870" s="22"/>
      <c r="X870" s="22"/>
      <c r="Y870" s="22"/>
      <c r="Z870" s="22"/>
      <c r="AA870" s="22"/>
      <c r="AB870" s="22"/>
      <c r="AC870" s="41"/>
      <c r="AD870" s="22"/>
    </row>
    <row r="871" spans="18:30" x14ac:dyDescent="0.25">
      <c r="R871" s="22"/>
      <c r="S871" s="22"/>
      <c r="T871" s="331"/>
      <c r="U871" s="22"/>
      <c r="V871" s="22"/>
      <c r="W871" s="22"/>
      <c r="X871" s="22"/>
      <c r="Y871" s="22"/>
      <c r="Z871" s="22"/>
      <c r="AA871" s="22"/>
      <c r="AB871" s="22"/>
      <c r="AC871" s="41"/>
      <c r="AD871" s="22"/>
    </row>
    <row r="872" spans="18:30" x14ac:dyDescent="0.25">
      <c r="R872" s="22"/>
      <c r="S872" s="22"/>
      <c r="T872" s="331"/>
      <c r="U872" s="22"/>
      <c r="V872" s="22"/>
      <c r="W872" s="22"/>
      <c r="X872" s="22"/>
      <c r="Y872" s="22"/>
      <c r="Z872" s="22"/>
      <c r="AA872" s="22"/>
      <c r="AB872" s="22"/>
      <c r="AC872" s="41"/>
      <c r="AD872" s="22"/>
    </row>
    <row r="873" spans="18:30" x14ac:dyDescent="0.25">
      <c r="R873" s="22"/>
      <c r="S873" s="22"/>
      <c r="T873" s="331"/>
      <c r="U873" s="22"/>
      <c r="V873" s="22"/>
      <c r="W873" s="22"/>
      <c r="X873" s="22"/>
      <c r="Y873" s="22"/>
      <c r="Z873" s="22"/>
      <c r="AA873" s="22"/>
      <c r="AB873" s="22"/>
      <c r="AC873" s="41"/>
      <c r="AD873" s="22"/>
    </row>
    <row r="874" spans="18:30" x14ac:dyDescent="0.25">
      <c r="R874" s="22"/>
      <c r="S874" s="22"/>
      <c r="T874" s="331"/>
      <c r="U874" s="22"/>
      <c r="V874" s="22"/>
      <c r="W874" s="22"/>
      <c r="X874" s="22"/>
      <c r="Y874" s="22"/>
      <c r="Z874" s="22"/>
      <c r="AA874" s="22"/>
      <c r="AB874" s="22"/>
      <c r="AC874" s="41"/>
      <c r="AD874" s="22"/>
    </row>
    <row r="875" spans="18:30" x14ac:dyDescent="0.25">
      <c r="R875" s="22"/>
      <c r="S875" s="22"/>
      <c r="T875" s="331"/>
      <c r="U875" s="22"/>
      <c r="V875" s="22"/>
      <c r="W875" s="22"/>
      <c r="X875" s="22"/>
      <c r="Y875" s="22"/>
      <c r="Z875" s="22"/>
      <c r="AA875" s="22"/>
      <c r="AB875" s="22"/>
      <c r="AC875" s="41"/>
      <c r="AD875" s="22"/>
    </row>
    <row r="876" spans="18:30" x14ac:dyDescent="0.25">
      <c r="R876" s="22"/>
      <c r="S876" s="22"/>
      <c r="T876" s="331"/>
      <c r="U876" s="22"/>
      <c r="V876" s="22"/>
      <c r="W876" s="22"/>
      <c r="X876" s="22"/>
      <c r="Y876" s="22"/>
      <c r="Z876" s="22"/>
      <c r="AA876" s="22"/>
      <c r="AB876" s="22"/>
      <c r="AC876" s="41"/>
      <c r="AD876" s="22"/>
    </row>
    <row r="877" spans="18:30" x14ac:dyDescent="0.25">
      <c r="R877" s="22"/>
      <c r="S877" s="22"/>
      <c r="T877" s="331"/>
      <c r="U877" s="22"/>
      <c r="V877" s="22"/>
      <c r="W877" s="22"/>
      <c r="X877" s="22"/>
      <c r="Y877" s="22"/>
      <c r="Z877" s="22"/>
      <c r="AA877" s="22"/>
      <c r="AB877" s="22"/>
      <c r="AC877" s="41"/>
      <c r="AD877" s="22"/>
    </row>
    <row r="878" spans="18:30" x14ac:dyDescent="0.25">
      <c r="R878" s="22"/>
      <c r="S878" s="22"/>
      <c r="T878" s="331"/>
      <c r="U878" s="22"/>
      <c r="V878" s="22"/>
      <c r="W878" s="22"/>
      <c r="X878" s="22"/>
      <c r="Y878" s="22"/>
      <c r="Z878" s="22"/>
      <c r="AA878" s="22"/>
      <c r="AB878" s="22"/>
      <c r="AC878" s="41"/>
      <c r="AD878" s="22"/>
    </row>
    <row r="879" spans="18:30" x14ac:dyDescent="0.25">
      <c r="R879" s="22"/>
      <c r="S879" s="22"/>
      <c r="T879" s="331"/>
      <c r="U879" s="22"/>
      <c r="V879" s="22"/>
      <c r="W879" s="22"/>
      <c r="X879" s="22"/>
      <c r="Y879" s="22"/>
      <c r="Z879" s="22"/>
      <c r="AA879" s="22"/>
      <c r="AB879" s="22"/>
      <c r="AC879" s="41"/>
      <c r="AD879" s="22"/>
    </row>
    <row r="880" spans="18:30" x14ac:dyDescent="0.25">
      <c r="R880" s="22"/>
      <c r="S880" s="22"/>
      <c r="T880" s="331"/>
      <c r="U880" s="22"/>
      <c r="V880" s="22"/>
      <c r="W880" s="22"/>
      <c r="X880" s="22"/>
      <c r="Y880" s="22"/>
      <c r="Z880" s="22"/>
      <c r="AA880" s="22"/>
      <c r="AB880" s="22"/>
      <c r="AC880" s="41"/>
      <c r="AD880" s="22"/>
    </row>
    <row r="881" spans="18:30" x14ac:dyDescent="0.25">
      <c r="R881" s="22"/>
      <c r="S881" s="22"/>
      <c r="T881" s="331"/>
      <c r="U881" s="22"/>
      <c r="V881" s="22"/>
      <c r="W881" s="22"/>
      <c r="X881" s="22"/>
      <c r="Y881" s="22"/>
      <c r="Z881" s="22"/>
      <c r="AA881" s="22"/>
      <c r="AB881" s="22"/>
      <c r="AC881" s="41"/>
      <c r="AD881" s="22"/>
    </row>
    <row r="882" spans="18:30" x14ac:dyDescent="0.25">
      <c r="R882" s="22"/>
      <c r="S882" s="22"/>
      <c r="T882" s="331"/>
      <c r="U882" s="22"/>
      <c r="V882" s="22"/>
      <c r="W882" s="22"/>
      <c r="X882" s="22"/>
      <c r="Y882" s="22"/>
      <c r="Z882" s="22"/>
      <c r="AA882" s="22"/>
      <c r="AB882" s="22"/>
      <c r="AC882" s="41"/>
      <c r="AD882" s="22"/>
    </row>
    <row r="883" spans="18:30" x14ac:dyDescent="0.25">
      <c r="R883" s="22"/>
      <c r="S883" s="22"/>
      <c r="T883" s="331"/>
      <c r="U883" s="22"/>
      <c r="V883" s="22"/>
      <c r="W883" s="22"/>
      <c r="X883" s="22"/>
      <c r="Y883" s="22"/>
      <c r="Z883" s="22"/>
      <c r="AA883" s="22"/>
      <c r="AB883" s="22"/>
      <c r="AC883" s="41"/>
      <c r="AD883" s="22"/>
    </row>
    <row r="884" spans="18:30" x14ac:dyDescent="0.25">
      <c r="R884" s="22"/>
      <c r="S884" s="22"/>
      <c r="T884" s="331"/>
      <c r="U884" s="22"/>
      <c r="V884" s="22"/>
      <c r="W884" s="22"/>
      <c r="X884" s="22"/>
      <c r="Y884" s="22"/>
      <c r="Z884" s="22"/>
      <c r="AA884" s="22"/>
      <c r="AB884" s="22"/>
      <c r="AC884" s="41"/>
      <c r="AD884" s="22"/>
    </row>
    <row r="885" spans="18:30" x14ac:dyDescent="0.25">
      <c r="R885" s="22"/>
      <c r="S885" s="22"/>
      <c r="T885" s="331"/>
      <c r="U885" s="22"/>
      <c r="V885" s="22"/>
      <c r="W885" s="22"/>
      <c r="X885" s="22"/>
      <c r="Y885" s="22"/>
      <c r="Z885" s="22"/>
      <c r="AA885" s="22"/>
      <c r="AB885" s="22"/>
      <c r="AC885" s="41"/>
      <c r="AD885" s="22"/>
    </row>
    <row r="886" spans="18:30" x14ac:dyDescent="0.25">
      <c r="R886" s="22"/>
      <c r="S886" s="22"/>
      <c r="T886" s="331"/>
      <c r="U886" s="22"/>
      <c r="V886" s="22"/>
      <c r="W886" s="22"/>
      <c r="X886" s="22"/>
      <c r="Y886" s="22"/>
      <c r="Z886" s="22"/>
      <c r="AA886" s="22"/>
      <c r="AB886" s="22"/>
      <c r="AC886" s="41"/>
      <c r="AD886" s="22"/>
    </row>
    <row r="887" spans="18:30" x14ac:dyDescent="0.25">
      <c r="R887" s="22"/>
      <c r="S887" s="22"/>
      <c r="T887" s="331"/>
      <c r="U887" s="22"/>
      <c r="V887" s="22"/>
      <c r="W887" s="22"/>
      <c r="X887" s="22"/>
      <c r="Y887" s="22"/>
      <c r="Z887" s="22"/>
      <c r="AA887" s="22"/>
      <c r="AB887" s="22"/>
      <c r="AC887" s="41"/>
      <c r="AD887" s="22"/>
    </row>
    <row r="888" spans="18:30" x14ac:dyDescent="0.25">
      <c r="R888" s="22"/>
      <c r="S888" s="22"/>
      <c r="T888" s="331"/>
      <c r="U888" s="22"/>
      <c r="V888" s="22"/>
      <c r="W888" s="22"/>
      <c r="X888" s="22"/>
      <c r="Y888" s="22"/>
      <c r="Z888" s="22"/>
      <c r="AA888" s="22"/>
      <c r="AB888" s="22"/>
      <c r="AC888" s="41"/>
      <c r="AD888" s="22"/>
    </row>
    <row r="889" spans="18:30" x14ac:dyDescent="0.25">
      <c r="R889" s="22"/>
      <c r="S889" s="22"/>
      <c r="T889" s="331"/>
      <c r="U889" s="22"/>
      <c r="V889" s="22"/>
      <c r="W889" s="22"/>
      <c r="X889" s="22"/>
      <c r="Y889" s="22"/>
      <c r="Z889" s="22"/>
      <c r="AA889" s="22"/>
      <c r="AB889" s="22"/>
      <c r="AC889" s="41"/>
      <c r="AD889" s="22"/>
    </row>
    <row r="890" spans="18:30" x14ac:dyDescent="0.25">
      <c r="R890" s="22"/>
      <c r="S890" s="22"/>
      <c r="T890" s="331"/>
      <c r="U890" s="22"/>
      <c r="V890" s="22"/>
      <c r="W890" s="22"/>
      <c r="X890" s="22"/>
      <c r="Y890" s="22"/>
      <c r="Z890" s="22"/>
      <c r="AA890" s="22"/>
      <c r="AB890" s="22"/>
      <c r="AC890" s="41"/>
      <c r="AD890" s="22"/>
    </row>
    <row r="891" spans="18:30" x14ac:dyDescent="0.25">
      <c r="R891" s="22"/>
      <c r="S891" s="22"/>
      <c r="T891" s="331"/>
      <c r="U891" s="22"/>
      <c r="V891" s="22"/>
      <c r="W891" s="22"/>
      <c r="X891" s="22"/>
      <c r="Y891" s="22"/>
      <c r="Z891" s="22"/>
      <c r="AA891" s="22"/>
      <c r="AB891" s="22"/>
      <c r="AC891" s="41"/>
      <c r="AD891" s="22"/>
    </row>
    <row r="892" spans="18:30" x14ac:dyDescent="0.25">
      <c r="R892" s="22"/>
      <c r="S892" s="22"/>
      <c r="T892" s="331"/>
      <c r="U892" s="22"/>
      <c r="V892" s="22"/>
      <c r="W892" s="22"/>
      <c r="X892" s="22"/>
      <c r="Y892" s="22"/>
      <c r="Z892" s="22"/>
      <c r="AA892" s="22"/>
      <c r="AB892" s="22"/>
      <c r="AC892" s="41"/>
      <c r="AD892" s="22"/>
    </row>
    <row r="893" spans="18:30" x14ac:dyDescent="0.25">
      <c r="R893" s="22"/>
      <c r="S893" s="22"/>
      <c r="T893" s="331"/>
      <c r="U893" s="22"/>
      <c r="V893" s="22"/>
      <c r="W893" s="22"/>
      <c r="X893" s="22"/>
      <c r="Y893" s="22"/>
      <c r="Z893" s="22"/>
      <c r="AA893" s="22"/>
      <c r="AB893" s="22"/>
      <c r="AC893" s="41"/>
      <c r="AD893" s="22"/>
    </row>
    <row r="894" spans="18:30" x14ac:dyDescent="0.25">
      <c r="R894" s="22"/>
      <c r="S894" s="22"/>
      <c r="T894" s="331"/>
      <c r="U894" s="22"/>
      <c r="V894" s="22"/>
      <c r="W894" s="22"/>
      <c r="X894" s="22"/>
      <c r="Y894" s="22"/>
      <c r="Z894" s="22"/>
      <c r="AA894" s="22"/>
      <c r="AB894" s="22"/>
      <c r="AC894" s="41"/>
      <c r="AD894" s="22"/>
    </row>
    <row r="895" spans="18:30" x14ac:dyDescent="0.25">
      <c r="R895" s="22"/>
      <c r="S895" s="22"/>
      <c r="T895" s="331"/>
      <c r="U895" s="22"/>
      <c r="V895" s="22"/>
      <c r="W895" s="22"/>
      <c r="X895" s="22"/>
      <c r="Y895" s="22"/>
      <c r="Z895" s="22"/>
      <c r="AA895" s="22"/>
      <c r="AB895" s="22"/>
      <c r="AC895" s="41"/>
      <c r="AD895" s="22"/>
    </row>
    <row r="896" spans="18:30" x14ac:dyDescent="0.25">
      <c r="R896" s="22"/>
      <c r="S896" s="22"/>
      <c r="T896" s="331"/>
      <c r="U896" s="22"/>
      <c r="V896" s="22"/>
      <c r="W896" s="22"/>
      <c r="X896" s="22"/>
      <c r="Y896" s="22"/>
      <c r="Z896" s="22"/>
      <c r="AA896" s="22"/>
      <c r="AB896" s="22"/>
      <c r="AC896" s="41"/>
      <c r="AD896" s="22"/>
    </row>
    <row r="897" spans="18:30" x14ac:dyDescent="0.25">
      <c r="R897" s="22"/>
      <c r="S897" s="22"/>
      <c r="T897" s="331"/>
      <c r="U897" s="22"/>
      <c r="V897" s="22"/>
      <c r="W897" s="22"/>
      <c r="X897" s="22"/>
      <c r="Y897" s="22"/>
      <c r="Z897" s="22"/>
      <c r="AA897" s="22"/>
      <c r="AB897" s="22"/>
      <c r="AC897" s="41"/>
      <c r="AD897" s="22"/>
    </row>
    <row r="898" spans="18:30" x14ac:dyDescent="0.25">
      <c r="R898" s="22"/>
      <c r="S898" s="22"/>
      <c r="T898" s="331"/>
      <c r="U898" s="22"/>
      <c r="V898" s="22"/>
      <c r="W898" s="22"/>
      <c r="X898" s="22"/>
      <c r="Y898" s="22"/>
      <c r="Z898" s="22"/>
      <c r="AA898" s="22"/>
      <c r="AB898" s="22"/>
      <c r="AC898" s="41"/>
      <c r="AD898" s="22"/>
    </row>
    <row r="899" spans="18:30" x14ac:dyDescent="0.25">
      <c r="R899" s="22"/>
      <c r="S899" s="22"/>
      <c r="T899" s="331"/>
      <c r="U899" s="22"/>
      <c r="V899" s="22"/>
      <c r="W899" s="22"/>
      <c r="X899" s="22"/>
      <c r="Y899" s="22"/>
      <c r="Z899" s="22"/>
      <c r="AA899" s="22"/>
      <c r="AB899" s="22"/>
      <c r="AC899" s="41"/>
      <c r="AD899" s="22"/>
    </row>
    <row r="900" spans="18:30" x14ac:dyDescent="0.25">
      <c r="R900" s="22"/>
      <c r="S900" s="22"/>
      <c r="T900" s="331"/>
      <c r="U900" s="22"/>
      <c r="V900" s="22"/>
      <c r="W900" s="22"/>
      <c r="X900" s="22"/>
      <c r="Y900" s="22"/>
      <c r="Z900" s="22"/>
      <c r="AA900" s="22"/>
      <c r="AB900" s="22"/>
      <c r="AC900" s="41"/>
      <c r="AD900" s="22"/>
    </row>
    <row r="901" spans="18:30" x14ac:dyDescent="0.25">
      <c r="R901" s="22"/>
      <c r="S901" s="22"/>
      <c r="T901" s="331"/>
      <c r="U901" s="22"/>
      <c r="V901" s="22"/>
      <c r="W901" s="22"/>
      <c r="X901" s="22"/>
      <c r="Y901" s="22"/>
      <c r="Z901" s="22"/>
      <c r="AA901" s="22"/>
      <c r="AB901" s="22"/>
      <c r="AC901" s="41"/>
      <c r="AD901" s="22"/>
    </row>
    <row r="902" spans="18:30" x14ac:dyDescent="0.25">
      <c r="R902" s="22"/>
      <c r="S902" s="22"/>
      <c r="T902" s="331"/>
      <c r="U902" s="22"/>
      <c r="V902" s="22"/>
      <c r="W902" s="22"/>
      <c r="X902" s="22"/>
      <c r="Y902" s="22"/>
      <c r="Z902" s="22"/>
      <c r="AA902" s="22"/>
      <c r="AB902" s="22"/>
      <c r="AC902" s="41"/>
      <c r="AD902" s="22"/>
    </row>
    <row r="903" spans="18:30" x14ac:dyDescent="0.25">
      <c r="R903" s="22"/>
      <c r="S903" s="22"/>
      <c r="T903" s="331"/>
      <c r="U903" s="22"/>
      <c r="V903" s="22"/>
      <c r="W903" s="22"/>
      <c r="X903" s="22"/>
      <c r="Y903" s="22"/>
      <c r="Z903" s="22"/>
      <c r="AA903" s="22"/>
      <c r="AB903" s="22"/>
      <c r="AC903" s="41"/>
      <c r="AD903" s="22"/>
    </row>
    <row r="904" spans="18:30" x14ac:dyDescent="0.25">
      <c r="R904" s="22"/>
      <c r="S904" s="22"/>
      <c r="T904" s="331"/>
      <c r="U904" s="22"/>
      <c r="V904" s="22"/>
      <c r="W904" s="22"/>
      <c r="X904" s="22"/>
      <c r="Y904" s="22"/>
      <c r="Z904" s="22"/>
      <c r="AA904" s="22"/>
      <c r="AB904" s="22"/>
      <c r="AC904" s="41"/>
      <c r="AD904" s="22"/>
    </row>
    <row r="905" spans="18:30" x14ac:dyDescent="0.25">
      <c r="R905" s="22"/>
      <c r="S905" s="22"/>
      <c r="T905" s="331"/>
      <c r="U905" s="22"/>
      <c r="V905" s="22"/>
      <c r="W905" s="22"/>
      <c r="X905" s="22"/>
      <c r="Y905" s="22"/>
      <c r="Z905" s="22"/>
      <c r="AA905" s="22"/>
      <c r="AB905" s="22"/>
      <c r="AC905" s="41"/>
      <c r="AD905" s="22"/>
    </row>
    <row r="906" spans="18:30" x14ac:dyDescent="0.25">
      <c r="R906" s="22"/>
      <c r="S906" s="22"/>
      <c r="T906" s="331"/>
      <c r="U906" s="22"/>
      <c r="V906" s="22"/>
      <c r="W906" s="22"/>
      <c r="X906" s="22"/>
      <c r="Y906" s="22"/>
      <c r="Z906" s="22"/>
      <c r="AA906" s="22"/>
      <c r="AB906" s="22"/>
      <c r="AC906" s="41"/>
      <c r="AD906" s="22"/>
    </row>
    <row r="907" spans="18:30" x14ac:dyDescent="0.25">
      <c r="R907" s="22"/>
      <c r="S907" s="22"/>
      <c r="T907" s="331"/>
      <c r="U907" s="22"/>
      <c r="V907" s="22"/>
      <c r="W907" s="22"/>
      <c r="X907" s="22"/>
      <c r="Y907" s="22"/>
      <c r="Z907" s="22"/>
      <c r="AA907" s="22"/>
      <c r="AB907" s="22"/>
      <c r="AC907" s="41"/>
      <c r="AD907" s="22"/>
    </row>
    <row r="908" spans="18:30" x14ac:dyDescent="0.25">
      <c r="R908" s="22"/>
      <c r="S908" s="22"/>
      <c r="T908" s="331"/>
      <c r="U908" s="22"/>
      <c r="V908" s="22"/>
      <c r="W908" s="22"/>
      <c r="X908" s="22"/>
      <c r="Y908" s="22"/>
      <c r="Z908" s="22"/>
      <c r="AA908" s="22"/>
      <c r="AB908" s="22"/>
      <c r="AC908" s="41"/>
      <c r="AD908" s="22"/>
    </row>
    <row r="909" spans="18:30" x14ac:dyDescent="0.25">
      <c r="R909" s="22"/>
      <c r="S909" s="22"/>
      <c r="T909" s="331"/>
      <c r="U909" s="22"/>
      <c r="V909" s="22"/>
      <c r="W909" s="22"/>
      <c r="X909" s="22"/>
      <c r="Y909" s="22"/>
      <c r="Z909" s="22"/>
      <c r="AA909" s="22"/>
      <c r="AB909" s="22"/>
      <c r="AC909" s="41"/>
      <c r="AD909" s="22"/>
    </row>
    <row r="910" spans="18:30" x14ac:dyDescent="0.25">
      <c r="R910" s="22"/>
      <c r="S910" s="22"/>
      <c r="T910" s="331"/>
      <c r="U910" s="22"/>
      <c r="V910" s="22"/>
      <c r="W910" s="22"/>
      <c r="X910" s="22"/>
      <c r="Y910" s="22"/>
      <c r="Z910" s="22"/>
      <c r="AA910" s="22"/>
      <c r="AB910" s="22"/>
      <c r="AC910" s="41"/>
      <c r="AD910" s="22"/>
    </row>
    <row r="911" spans="18:30" x14ac:dyDescent="0.25">
      <c r="R911" s="22"/>
      <c r="S911" s="22"/>
      <c r="T911" s="331"/>
      <c r="U911" s="22"/>
      <c r="V911" s="22"/>
      <c r="W911" s="22"/>
      <c r="X911" s="22"/>
      <c r="Y911" s="22"/>
      <c r="Z911" s="22"/>
      <c r="AA911" s="22"/>
      <c r="AB911" s="22"/>
      <c r="AC911" s="41"/>
      <c r="AD911" s="22"/>
    </row>
    <row r="912" spans="18:30" x14ac:dyDescent="0.25">
      <c r="R912" s="22"/>
      <c r="S912" s="22"/>
      <c r="T912" s="331"/>
      <c r="U912" s="22"/>
      <c r="V912" s="22"/>
      <c r="W912" s="22"/>
      <c r="X912" s="22"/>
      <c r="Y912" s="22"/>
      <c r="Z912" s="22"/>
      <c r="AA912" s="22"/>
      <c r="AB912" s="22"/>
      <c r="AC912" s="41"/>
      <c r="AD912" s="22"/>
    </row>
    <row r="913" spans="18:30" x14ac:dyDescent="0.25">
      <c r="R913" s="22"/>
      <c r="S913" s="22"/>
      <c r="T913" s="331"/>
      <c r="U913" s="22"/>
      <c r="V913" s="22"/>
      <c r="W913" s="22"/>
      <c r="X913" s="22"/>
      <c r="Y913" s="22"/>
      <c r="Z913" s="22"/>
      <c r="AA913" s="22"/>
      <c r="AB913" s="22"/>
      <c r="AC913" s="41"/>
      <c r="AD913" s="22"/>
    </row>
    <row r="914" spans="18:30" x14ac:dyDescent="0.25">
      <c r="R914" s="22"/>
      <c r="S914" s="22"/>
      <c r="T914" s="331"/>
      <c r="U914" s="22"/>
      <c r="V914" s="22"/>
      <c r="W914" s="22"/>
      <c r="X914" s="22"/>
      <c r="Y914" s="22"/>
      <c r="Z914" s="22"/>
      <c r="AA914" s="22"/>
      <c r="AB914" s="22"/>
      <c r="AC914" s="41"/>
      <c r="AD914" s="22"/>
    </row>
    <row r="915" spans="18:30" x14ac:dyDescent="0.25">
      <c r="R915" s="22"/>
      <c r="S915" s="22"/>
      <c r="T915" s="331"/>
      <c r="U915" s="22"/>
      <c r="V915" s="22"/>
      <c r="W915" s="22"/>
      <c r="X915" s="22"/>
      <c r="Y915" s="22"/>
      <c r="Z915" s="22"/>
      <c r="AA915" s="22"/>
      <c r="AB915" s="22"/>
      <c r="AC915" s="41"/>
      <c r="AD915" s="22"/>
    </row>
    <row r="916" spans="18:30" x14ac:dyDescent="0.25">
      <c r="R916" s="22"/>
      <c r="S916" s="22"/>
      <c r="T916" s="331"/>
      <c r="U916" s="22"/>
      <c r="V916" s="22"/>
      <c r="W916" s="22"/>
      <c r="X916" s="22"/>
      <c r="Y916" s="22"/>
      <c r="Z916" s="22"/>
      <c r="AA916" s="22"/>
      <c r="AB916" s="22"/>
      <c r="AC916" s="41"/>
      <c r="AD916" s="22"/>
    </row>
    <row r="917" spans="18:30" x14ac:dyDescent="0.25">
      <c r="R917" s="22"/>
      <c r="S917" s="22"/>
      <c r="T917" s="331"/>
      <c r="U917" s="22"/>
      <c r="V917" s="22"/>
      <c r="W917" s="22"/>
      <c r="X917" s="22"/>
      <c r="Y917" s="22"/>
      <c r="Z917" s="22"/>
      <c r="AA917" s="22"/>
      <c r="AB917" s="22"/>
      <c r="AC917" s="41"/>
      <c r="AD917" s="22"/>
    </row>
    <row r="918" spans="18:30" x14ac:dyDescent="0.25">
      <c r="R918" s="22"/>
      <c r="S918" s="22"/>
      <c r="T918" s="331"/>
      <c r="U918" s="22"/>
      <c r="V918" s="22"/>
      <c r="W918" s="22"/>
      <c r="X918" s="22"/>
      <c r="Y918" s="22"/>
      <c r="Z918" s="22"/>
      <c r="AA918" s="22"/>
      <c r="AB918" s="22"/>
      <c r="AC918" s="41"/>
      <c r="AD918" s="22"/>
    </row>
    <row r="919" spans="18:30" x14ac:dyDescent="0.25">
      <c r="R919" s="22"/>
      <c r="S919" s="22"/>
      <c r="T919" s="331"/>
      <c r="U919" s="22"/>
      <c r="V919" s="22"/>
      <c r="W919" s="22"/>
      <c r="X919" s="22"/>
      <c r="Y919" s="22"/>
      <c r="Z919" s="22"/>
      <c r="AA919" s="22"/>
      <c r="AB919" s="22"/>
      <c r="AC919" s="41"/>
      <c r="AD919" s="22"/>
    </row>
    <row r="920" spans="18:30" x14ac:dyDescent="0.25">
      <c r="R920" s="22"/>
      <c r="S920" s="22"/>
      <c r="T920" s="331"/>
      <c r="U920" s="22"/>
      <c r="V920" s="22"/>
      <c r="W920" s="22"/>
      <c r="X920" s="22"/>
      <c r="Y920" s="22"/>
      <c r="Z920" s="22"/>
      <c r="AA920" s="22"/>
      <c r="AB920" s="22"/>
      <c r="AC920" s="41"/>
      <c r="AD920" s="22"/>
    </row>
    <row r="921" spans="18:30" x14ac:dyDescent="0.25">
      <c r="R921" s="22"/>
      <c r="S921" s="22"/>
      <c r="T921" s="331"/>
      <c r="U921" s="22"/>
      <c r="V921" s="22"/>
      <c r="W921" s="22"/>
      <c r="X921" s="22"/>
      <c r="Y921" s="22"/>
      <c r="Z921" s="22"/>
      <c r="AA921" s="22"/>
      <c r="AB921" s="22"/>
      <c r="AC921" s="41"/>
      <c r="AD921" s="22"/>
    </row>
    <row r="922" spans="18:30" x14ac:dyDescent="0.25">
      <c r="R922" s="22"/>
      <c r="S922" s="22"/>
      <c r="T922" s="331"/>
      <c r="U922" s="22"/>
      <c r="V922" s="22"/>
      <c r="W922" s="22"/>
      <c r="X922" s="22"/>
      <c r="Y922" s="22"/>
      <c r="Z922" s="22"/>
      <c r="AA922" s="22"/>
      <c r="AB922" s="22"/>
      <c r="AC922" s="41"/>
      <c r="AD922" s="22"/>
    </row>
    <row r="923" spans="18:30" x14ac:dyDescent="0.25">
      <c r="R923" s="22"/>
      <c r="S923" s="22"/>
      <c r="T923" s="331"/>
      <c r="U923" s="22"/>
      <c r="V923" s="22"/>
      <c r="W923" s="22"/>
      <c r="X923" s="22"/>
      <c r="Y923" s="22"/>
      <c r="Z923" s="22"/>
      <c r="AA923" s="22"/>
      <c r="AB923" s="22"/>
      <c r="AC923" s="41"/>
      <c r="AD923" s="22"/>
    </row>
    <row r="924" spans="18:30" x14ac:dyDescent="0.25">
      <c r="R924" s="22"/>
      <c r="S924" s="22"/>
      <c r="T924" s="331"/>
      <c r="U924" s="22"/>
      <c r="V924" s="22"/>
      <c r="W924" s="22"/>
      <c r="X924" s="22"/>
      <c r="Y924" s="22"/>
      <c r="Z924" s="22"/>
      <c r="AA924" s="22"/>
      <c r="AB924" s="22"/>
      <c r="AC924" s="41"/>
      <c r="AD924" s="22"/>
    </row>
    <row r="925" spans="18:30" x14ac:dyDescent="0.25">
      <c r="R925" s="22"/>
      <c r="S925" s="22"/>
      <c r="T925" s="331"/>
      <c r="U925" s="22"/>
      <c r="V925" s="22"/>
      <c r="W925" s="22"/>
      <c r="X925" s="22"/>
      <c r="Y925" s="22"/>
      <c r="Z925" s="22"/>
      <c r="AA925" s="22"/>
      <c r="AB925" s="22"/>
      <c r="AC925" s="41"/>
      <c r="AD925" s="22"/>
    </row>
    <row r="926" spans="18:30" x14ac:dyDescent="0.25">
      <c r="R926" s="22"/>
      <c r="S926" s="22"/>
      <c r="T926" s="331"/>
      <c r="U926" s="22"/>
      <c r="V926" s="22"/>
      <c r="W926" s="22"/>
      <c r="X926" s="22"/>
      <c r="Y926" s="22"/>
      <c r="Z926" s="22"/>
      <c r="AA926" s="22"/>
      <c r="AB926" s="22"/>
      <c r="AC926" s="41"/>
      <c r="AD926" s="22"/>
    </row>
    <row r="927" spans="18:30" x14ac:dyDescent="0.25">
      <c r="R927" s="22"/>
      <c r="S927" s="22"/>
      <c r="T927" s="331"/>
      <c r="U927" s="22"/>
      <c r="V927" s="22"/>
      <c r="W927" s="22"/>
      <c r="X927" s="22"/>
      <c r="Y927" s="22"/>
      <c r="Z927" s="22"/>
      <c r="AA927" s="22"/>
      <c r="AB927" s="22"/>
      <c r="AC927" s="41"/>
      <c r="AD927" s="22"/>
    </row>
    <row r="928" spans="18:30" x14ac:dyDescent="0.25">
      <c r="R928" s="22"/>
      <c r="S928" s="22"/>
      <c r="T928" s="331"/>
      <c r="U928" s="22"/>
      <c r="V928" s="22"/>
      <c r="W928" s="22"/>
      <c r="X928" s="22"/>
      <c r="Y928" s="22"/>
      <c r="Z928" s="22"/>
      <c r="AA928" s="22"/>
      <c r="AB928" s="22"/>
      <c r="AC928" s="41"/>
      <c r="AD928" s="22"/>
    </row>
    <row r="929" spans="18:30" x14ac:dyDescent="0.25">
      <c r="R929" s="22"/>
      <c r="S929" s="22"/>
      <c r="T929" s="331"/>
      <c r="U929" s="22"/>
      <c r="V929" s="22"/>
      <c r="W929" s="22"/>
      <c r="X929" s="22"/>
      <c r="Y929" s="22"/>
      <c r="Z929" s="22"/>
      <c r="AA929" s="22"/>
      <c r="AB929" s="22"/>
      <c r="AC929" s="41"/>
      <c r="AD929" s="22"/>
    </row>
    <row r="930" spans="18:30" x14ac:dyDescent="0.25">
      <c r="R930" s="22"/>
      <c r="S930" s="22"/>
      <c r="T930" s="331"/>
      <c r="U930" s="22"/>
      <c r="V930" s="22"/>
      <c r="W930" s="22"/>
      <c r="X930" s="22"/>
      <c r="Y930" s="22"/>
      <c r="Z930" s="22"/>
      <c r="AA930" s="22"/>
      <c r="AB930" s="22"/>
      <c r="AC930" s="41"/>
      <c r="AD930" s="22"/>
    </row>
    <row r="931" spans="18:30" x14ac:dyDescent="0.25">
      <c r="R931" s="22"/>
      <c r="S931" s="22"/>
      <c r="T931" s="331"/>
      <c r="U931" s="22"/>
      <c r="V931" s="22"/>
      <c r="W931" s="22"/>
      <c r="X931" s="22"/>
      <c r="Y931" s="22"/>
      <c r="Z931" s="22"/>
      <c r="AA931" s="22"/>
      <c r="AB931" s="22"/>
      <c r="AC931" s="41"/>
      <c r="AD931" s="22"/>
    </row>
    <row r="932" spans="18:30" x14ac:dyDescent="0.25">
      <c r="R932" s="22"/>
      <c r="S932" s="22"/>
      <c r="T932" s="331"/>
      <c r="U932" s="22"/>
      <c r="V932" s="22"/>
      <c r="W932" s="22"/>
      <c r="X932" s="22"/>
      <c r="Y932" s="22"/>
      <c r="Z932" s="22"/>
      <c r="AA932" s="22"/>
      <c r="AB932" s="22"/>
      <c r="AC932" s="41"/>
      <c r="AD932" s="22"/>
    </row>
    <row r="933" spans="18:30" x14ac:dyDescent="0.25">
      <c r="R933" s="22"/>
      <c r="S933" s="22"/>
      <c r="T933" s="331"/>
      <c r="U933" s="22"/>
      <c r="V933" s="22"/>
      <c r="W933" s="22"/>
      <c r="X933" s="22"/>
      <c r="Y933" s="22"/>
      <c r="Z933" s="22"/>
      <c r="AA933" s="22"/>
      <c r="AB933" s="22"/>
      <c r="AC933" s="41"/>
      <c r="AD933" s="22"/>
    </row>
    <row r="934" spans="18:30" x14ac:dyDescent="0.25">
      <c r="R934" s="22"/>
      <c r="S934" s="22"/>
      <c r="T934" s="331"/>
      <c r="U934" s="22"/>
      <c r="V934" s="22"/>
      <c r="W934" s="22"/>
      <c r="X934" s="22"/>
      <c r="Y934" s="22"/>
      <c r="Z934" s="22"/>
      <c r="AA934" s="22"/>
      <c r="AB934" s="22"/>
      <c r="AC934" s="41"/>
      <c r="AD934" s="22"/>
    </row>
    <row r="935" spans="18:30" x14ac:dyDescent="0.25">
      <c r="R935" s="22"/>
      <c r="S935" s="22"/>
      <c r="T935" s="331"/>
      <c r="U935" s="22"/>
      <c r="V935" s="22"/>
      <c r="W935" s="22"/>
      <c r="X935" s="22"/>
      <c r="Y935" s="22"/>
      <c r="Z935" s="22"/>
      <c r="AA935" s="22"/>
      <c r="AB935" s="22"/>
      <c r="AC935" s="41"/>
      <c r="AD935" s="22"/>
    </row>
    <row r="936" spans="18:30" x14ac:dyDescent="0.25">
      <c r="R936" s="22"/>
      <c r="S936" s="22"/>
      <c r="T936" s="331"/>
      <c r="U936" s="22"/>
      <c r="V936" s="22"/>
      <c r="W936" s="22"/>
      <c r="X936" s="22"/>
      <c r="Y936" s="22"/>
      <c r="Z936" s="22"/>
      <c r="AA936" s="22"/>
      <c r="AB936" s="22"/>
      <c r="AC936" s="41"/>
      <c r="AD936" s="22"/>
    </row>
    <row r="937" spans="18:30" x14ac:dyDescent="0.25">
      <c r="R937" s="22"/>
      <c r="S937" s="22"/>
      <c r="T937" s="331"/>
      <c r="U937" s="22"/>
      <c r="V937" s="22"/>
      <c r="W937" s="22"/>
      <c r="X937" s="22"/>
      <c r="Y937" s="22"/>
      <c r="Z937" s="22"/>
      <c r="AA937" s="22"/>
      <c r="AB937" s="22"/>
      <c r="AC937" s="41"/>
      <c r="AD937" s="22"/>
    </row>
    <row r="938" spans="18:30" x14ac:dyDescent="0.25">
      <c r="R938" s="22"/>
      <c r="S938" s="22"/>
      <c r="T938" s="331"/>
      <c r="U938" s="22"/>
      <c r="V938" s="22"/>
      <c r="W938" s="22"/>
      <c r="X938" s="22"/>
      <c r="Y938" s="22"/>
      <c r="Z938" s="22"/>
      <c r="AA938" s="22"/>
      <c r="AB938" s="22"/>
      <c r="AC938" s="41"/>
      <c r="AD938" s="22"/>
    </row>
    <row r="939" spans="18:30" x14ac:dyDescent="0.25">
      <c r="R939" s="22"/>
      <c r="S939" s="22"/>
      <c r="T939" s="331"/>
      <c r="U939" s="22"/>
      <c r="V939" s="22"/>
      <c r="W939" s="22"/>
      <c r="X939" s="22"/>
      <c r="Y939" s="22"/>
      <c r="Z939" s="22"/>
      <c r="AA939" s="22"/>
      <c r="AB939" s="22"/>
      <c r="AC939" s="41"/>
      <c r="AD939" s="22"/>
    </row>
    <row r="940" spans="18:30" x14ac:dyDescent="0.25">
      <c r="R940" s="22"/>
      <c r="S940" s="22"/>
      <c r="T940" s="331"/>
      <c r="U940" s="22"/>
      <c r="V940" s="22"/>
      <c r="W940" s="22"/>
      <c r="X940" s="22"/>
      <c r="Y940" s="22"/>
      <c r="Z940" s="22"/>
      <c r="AA940" s="22"/>
      <c r="AB940" s="22"/>
      <c r="AC940" s="41"/>
      <c r="AD940" s="22"/>
    </row>
    <row r="941" spans="18:30" x14ac:dyDescent="0.25">
      <c r="R941" s="22"/>
      <c r="S941" s="22"/>
      <c r="T941" s="331"/>
      <c r="U941" s="22"/>
      <c r="V941" s="22"/>
      <c r="W941" s="22"/>
      <c r="X941" s="22"/>
      <c r="Y941" s="22"/>
      <c r="Z941" s="22"/>
      <c r="AA941" s="22"/>
      <c r="AB941" s="22"/>
      <c r="AC941" s="41"/>
      <c r="AD941" s="22"/>
    </row>
    <row r="942" spans="18:30" x14ac:dyDescent="0.25">
      <c r="R942" s="22"/>
      <c r="S942" s="22"/>
      <c r="T942" s="331"/>
      <c r="U942" s="22"/>
      <c r="V942" s="22"/>
      <c r="W942" s="22"/>
      <c r="X942" s="22"/>
      <c r="Y942" s="22"/>
      <c r="Z942" s="22"/>
      <c r="AA942" s="22"/>
      <c r="AB942" s="22"/>
      <c r="AC942" s="41"/>
      <c r="AD942" s="22"/>
    </row>
    <row r="943" spans="18:30" x14ac:dyDescent="0.25">
      <c r="R943" s="22"/>
      <c r="S943" s="22"/>
      <c r="T943" s="331"/>
      <c r="U943" s="22"/>
      <c r="V943" s="22"/>
      <c r="W943" s="22"/>
      <c r="X943" s="22"/>
      <c r="Y943" s="22"/>
      <c r="Z943" s="22"/>
      <c r="AA943" s="22"/>
      <c r="AB943" s="22"/>
      <c r="AC943" s="41"/>
      <c r="AD943" s="22"/>
    </row>
    <row r="944" spans="18:30" x14ac:dyDescent="0.25">
      <c r="R944" s="22"/>
      <c r="S944" s="22"/>
      <c r="T944" s="331"/>
      <c r="U944" s="22"/>
      <c r="V944" s="22"/>
      <c r="W944" s="22"/>
      <c r="X944" s="22"/>
      <c r="Y944" s="22"/>
      <c r="Z944" s="22"/>
      <c r="AA944" s="22"/>
      <c r="AB944" s="22"/>
      <c r="AC944" s="41"/>
      <c r="AD944" s="22"/>
    </row>
    <row r="945" spans="18:30" x14ac:dyDescent="0.25">
      <c r="R945" s="22"/>
      <c r="S945" s="22"/>
      <c r="T945" s="331"/>
      <c r="U945" s="22"/>
      <c r="V945" s="22"/>
      <c r="W945" s="22"/>
      <c r="X945" s="22"/>
      <c r="Y945" s="22"/>
      <c r="Z945" s="22"/>
      <c r="AA945" s="22"/>
      <c r="AB945" s="22"/>
      <c r="AC945" s="41"/>
      <c r="AD945" s="22"/>
    </row>
    <row r="946" spans="18:30" x14ac:dyDescent="0.25">
      <c r="R946" s="22"/>
      <c r="S946" s="22"/>
      <c r="T946" s="331"/>
      <c r="U946" s="22"/>
      <c r="V946" s="22"/>
      <c r="W946" s="22"/>
      <c r="X946" s="22"/>
      <c r="Y946" s="22"/>
      <c r="Z946" s="22"/>
      <c r="AA946" s="22"/>
      <c r="AB946" s="22"/>
      <c r="AC946" s="41"/>
      <c r="AD946" s="22"/>
    </row>
    <row r="947" spans="18:30" x14ac:dyDescent="0.25">
      <c r="R947" s="22"/>
      <c r="S947" s="22"/>
      <c r="T947" s="331"/>
      <c r="U947" s="22"/>
      <c r="V947" s="22"/>
      <c r="W947" s="22"/>
      <c r="X947" s="22"/>
      <c r="Y947" s="22"/>
      <c r="Z947" s="22"/>
      <c r="AA947" s="22"/>
      <c r="AB947" s="22"/>
      <c r="AC947" s="41"/>
      <c r="AD947" s="22"/>
    </row>
    <row r="948" spans="18:30" x14ac:dyDescent="0.25">
      <c r="R948" s="22"/>
      <c r="S948" s="22"/>
      <c r="T948" s="331"/>
      <c r="U948" s="22"/>
      <c r="V948" s="22"/>
      <c r="W948" s="22"/>
      <c r="X948" s="22"/>
      <c r="Y948" s="22"/>
      <c r="Z948" s="22"/>
      <c r="AA948" s="22"/>
      <c r="AB948" s="22"/>
      <c r="AC948" s="41"/>
      <c r="AD948" s="22"/>
    </row>
    <row r="949" spans="18:30" x14ac:dyDescent="0.25">
      <c r="R949" s="22"/>
      <c r="S949" s="22"/>
      <c r="T949" s="331"/>
      <c r="U949" s="22"/>
      <c r="V949" s="22"/>
      <c r="W949" s="22"/>
      <c r="X949" s="22"/>
      <c r="Y949" s="22"/>
      <c r="Z949" s="22"/>
      <c r="AA949" s="22"/>
      <c r="AB949" s="22"/>
      <c r="AC949" s="41"/>
      <c r="AD949" s="22"/>
    </row>
    <row r="950" spans="18:30" x14ac:dyDescent="0.25">
      <c r="R950" s="22"/>
      <c r="S950" s="22"/>
      <c r="T950" s="331"/>
      <c r="U950" s="22"/>
      <c r="V950" s="22"/>
      <c r="W950" s="22"/>
      <c r="X950" s="22"/>
      <c r="Y950" s="22"/>
      <c r="Z950" s="22"/>
      <c r="AA950" s="22"/>
      <c r="AB950" s="22"/>
      <c r="AC950" s="41"/>
      <c r="AD950" s="22"/>
    </row>
    <row r="951" spans="18:30" x14ac:dyDescent="0.25">
      <c r="R951" s="22"/>
      <c r="S951" s="22"/>
      <c r="T951" s="331"/>
      <c r="U951" s="22"/>
      <c r="V951" s="22"/>
      <c r="W951" s="22"/>
      <c r="X951" s="22"/>
      <c r="Y951" s="22"/>
      <c r="Z951" s="22"/>
      <c r="AA951" s="22"/>
      <c r="AB951" s="22"/>
      <c r="AC951" s="41"/>
      <c r="AD951" s="22"/>
    </row>
    <row r="952" spans="18:30" x14ac:dyDescent="0.25">
      <c r="R952" s="22"/>
      <c r="S952" s="22"/>
      <c r="T952" s="331"/>
      <c r="U952" s="22"/>
      <c r="V952" s="22"/>
      <c r="W952" s="22"/>
      <c r="X952" s="22"/>
      <c r="Y952" s="22"/>
      <c r="Z952" s="22"/>
      <c r="AA952" s="22"/>
      <c r="AB952" s="22"/>
      <c r="AC952" s="41"/>
      <c r="AD952" s="22"/>
    </row>
    <row r="953" spans="18:30" x14ac:dyDescent="0.25">
      <c r="R953" s="22"/>
      <c r="S953" s="22"/>
      <c r="T953" s="331"/>
      <c r="U953" s="22"/>
      <c r="V953" s="22"/>
      <c r="W953" s="22"/>
      <c r="X953" s="22"/>
      <c r="Y953" s="22"/>
      <c r="Z953" s="22"/>
      <c r="AA953" s="22"/>
      <c r="AB953" s="22"/>
      <c r="AC953" s="41"/>
      <c r="AD953" s="22"/>
    </row>
    <row r="954" spans="18:30" x14ac:dyDescent="0.25">
      <c r="R954" s="22"/>
      <c r="S954" s="22"/>
      <c r="T954" s="331"/>
      <c r="U954" s="22"/>
      <c r="V954" s="22"/>
      <c r="W954" s="22"/>
      <c r="X954" s="22"/>
      <c r="Y954" s="22"/>
      <c r="Z954" s="22"/>
      <c r="AA954" s="22"/>
      <c r="AB954" s="22"/>
      <c r="AC954" s="41"/>
      <c r="AD954" s="22"/>
    </row>
    <row r="955" spans="18:30" x14ac:dyDescent="0.25">
      <c r="R955" s="22"/>
      <c r="S955" s="22"/>
      <c r="T955" s="331"/>
      <c r="U955" s="22"/>
      <c r="V955" s="22"/>
      <c r="W955" s="22"/>
      <c r="X955" s="22"/>
      <c r="Y955" s="22"/>
      <c r="Z955" s="22"/>
      <c r="AA955" s="22"/>
      <c r="AB955" s="22"/>
      <c r="AC955" s="41"/>
      <c r="AD955" s="22"/>
    </row>
    <row r="956" spans="18:30" x14ac:dyDescent="0.25">
      <c r="R956" s="22"/>
      <c r="S956" s="22"/>
      <c r="T956" s="331"/>
      <c r="U956" s="22"/>
      <c r="V956" s="22"/>
      <c r="W956" s="22"/>
      <c r="X956" s="22"/>
      <c r="Y956" s="22"/>
      <c r="Z956" s="22"/>
      <c r="AA956" s="22"/>
      <c r="AB956" s="22"/>
      <c r="AC956" s="41"/>
      <c r="AD956" s="22"/>
    </row>
    <row r="957" spans="18:30" x14ac:dyDescent="0.25">
      <c r="R957" s="22"/>
      <c r="S957" s="22"/>
      <c r="T957" s="331"/>
      <c r="U957" s="22"/>
      <c r="V957" s="22"/>
      <c r="W957" s="22"/>
      <c r="X957" s="22"/>
      <c r="Y957" s="22"/>
      <c r="Z957" s="22"/>
      <c r="AA957" s="22"/>
      <c r="AB957" s="22"/>
      <c r="AC957" s="41"/>
      <c r="AD957" s="22"/>
    </row>
    <row r="958" spans="18:30" x14ac:dyDescent="0.25">
      <c r="R958" s="22"/>
      <c r="S958" s="22"/>
      <c r="T958" s="331"/>
      <c r="U958" s="22"/>
      <c r="V958" s="22"/>
      <c r="W958" s="22"/>
      <c r="X958" s="22"/>
      <c r="Y958" s="22"/>
      <c r="Z958" s="22"/>
      <c r="AA958" s="22"/>
      <c r="AB958" s="22"/>
      <c r="AC958" s="41"/>
      <c r="AD958" s="22"/>
    </row>
    <row r="959" spans="18:30" x14ac:dyDescent="0.25">
      <c r="R959" s="22"/>
      <c r="S959" s="22"/>
      <c r="T959" s="331"/>
      <c r="U959" s="22"/>
      <c r="V959" s="22"/>
      <c r="W959" s="22"/>
      <c r="X959" s="22"/>
      <c r="Y959" s="22"/>
      <c r="Z959" s="22"/>
      <c r="AA959" s="22"/>
      <c r="AB959" s="22"/>
      <c r="AC959" s="41"/>
      <c r="AD959" s="22"/>
    </row>
    <row r="960" spans="18:30" x14ac:dyDescent="0.25">
      <c r="R960" s="22"/>
      <c r="S960" s="22"/>
      <c r="T960" s="331"/>
      <c r="U960" s="22"/>
      <c r="V960" s="22"/>
      <c r="W960" s="22"/>
      <c r="X960" s="22"/>
      <c r="Y960" s="22"/>
      <c r="Z960" s="22"/>
      <c r="AA960" s="22"/>
      <c r="AB960" s="22"/>
      <c r="AC960" s="41"/>
      <c r="AD960" s="22"/>
    </row>
    <row r="961" spans="18:30" x14ac:dyDescent="0.25">
      <c r="R961" s="22"/>
      <c r="S961" s="22"/>
      <c r="T961" s="331"/>
      <c r="U961" s="22"/>
      <c r="V961" s="22"/>
      <c r="W961" s="22"/>
      <c r="X961" s="22"/>
      <c r="Y961" s="22"/>
      <c r="Z961" s="22"/>
      <c r="AA961" s="22"/>
      <c r="AB961" s="22"/>
      <c r="AC961" s="41"/>
      <c r="AD961" s="22"/>
    </row>
    <row r="962" spans="18:30" x14ac:dyDescent="0.25">
      <c r="R962" s="22"/>
      <c r="S962" s="22"/>
      <c r="T962" s="331"/>
      <c r="U962" s="22"/>
      <c r="V962" s="22"/>
      <c r="W962" s="22"/>
      <c r="X962" s="22"/>
      <c r="Y962" s="22"/>
      <c r="Z962" s="22"/>
      <c r="AA962" s="22"/>
      <c r="AB962" s="22"/>
      <c r="AC962" s="41"/>
      <c r="AD962" s="22"/>
    </row>
    <row r="963" spans="18:30" x14ac:dyDescent="0.25">
      <c r="R963" s="22"/>
      <c r="S963" s="22"/>
      <c r="T963" s="331"/>
      <c r="U963" s="22"/>
      <c r="V963" s="22"/>
      <c r="W963" s="22"/>
      <c r="X963" s="22"/>
      <c r="Y963" s="22"/>
      <c r="Z963" s="22"/>
      <c r="AA963" s="22"/>
      <c r="AB963" s="22"/>
      <c r="AC963" s="41"/>
      <c r="AD963" s="22"/>
    </row>
    <row r="964" spans="18:30" x14ac:dyDescent="0.25">
      <c r="R964" s="22"/>
      <c r="S964" s="22"/>
      <c r="T964" s="331"/>
      <c r="U964" s="22"/>
      <c r="V964" s="22"/>
      <c r="W964" s="22"/>
      <c r="X964" s="22"/>
      <c r="Y964" s="22"/>
      <c r="Z964" s="22"/>
      <c r="AA964" s="22"/>
      <c r="AB964" s="22"/>
      <c r="AC964" s="41"/>
      <c r="AD964" s="22"/>
    </row>
    <row r="965" spans="18:30" x14ac:dyDescent="0.25">
      <c r="R965" s="22"/>
      <c r="S965" s="22"/>
      <c r="T965" s="331"/>
      <c r="U965" s="22"/>
      <c r="V965" s="22"/>
      <c r="W965" s="22"/>
      <c r="X965" s="22"/>
      <c r="Y965" s="22"/>
      <c r="Z965" s="22"/>
      <c r="AA965" s="22"/>
      <c r="AB965" s="22"/>
      <c r="AC965" s="41"/>
      <c r="AD965" s="22"/>
    </row>
    <row r="966" spans="18:30" x14ac:dyDescent="0.25">
      <c r="R966" s="22"/>
      <c r="S966" s="22"/>
      <c r="T966" s="331"/>
      <c r="U966" s="22"/>
      <c r="V966" s="22"/>
      <c r="W966" s="22"/>
      <c r="X966" s="22"/>
      <c r="Y966" s="22"/>
      <c r="Z966" s="22"/>
      <c r="AA966" s="22"/>
      <c r="AB966" s="22"/>
      <c r="AC966" s="41"/>
      <c r="AD966" s="22"/>
    </row>
    <row r="967" spans="18:30" x14ac:dyDescent="0.25">
      <c r="R967" s="22"/>
      <c r="S967" s="22"/>
      <c r="T967" s="331"/>
      <c r="U967" s="22"/>
      <c r="V967" s="22"/>
      <c r="W967" s="22"/>
      <c r="X967" s="22"/>
      <c r="Y967" s="22"/>
      <c r="Z967" s="22"/>
      <c r="AA967" s="22"/>
      <c r="AB967" s="22"/>
      <c r="AC967" s="41"/>
      <c r="AD967" s="22"/>
    </row>
    <row r="968" spans="18:30" x14ac:dyDescent="0.25">
      <c r="R968" s="22"/>
      <c r="S968" s="22"/>
      <c r="T968" s="331"/>
      <c r="U968" s="22"/>
      <c r="V968" s="22"/>
      <c r="W968" s="22"/>
      <c r="X968" s="22"/>
      <c r="Y968" s="22"/>
      <c r="Z968" s="22"/>
      <c r="AA968" s="22"/>
      <c r="AB968" s="22"/>
      <c r="AC968" s="41"/>
      <c r="AD968" s="22"/>
    </row>
    <row r="969" spans="18:30" x14ac:dyDescent="0.25">
      <c r="R969" s="22"/>
      <c r="S969" s="22"/>
      <c r="T969" s="331"/>
      <c r="U969" s="22"/>
      <c r="V969" s="22"/>
      <c r="W969" s="22"/>
      <c r="X969" s="22"/>
      <c r="Y969" s="22"/>
      <c r="Z969" s="22"/>
      <c r="AA969" s="22"/>
      <c r="AB969" s="22"/>
      <c r="AC969" s="41"/>
      <c r="AD969" s="22"/>
    </row>
    <row r="970" spans="18:30" x14ac:dyDescent="0.25">
      <c r="R970" s="22"/>
      <c r="S970" s="22"/>
      <c r="T970" s="331"/>
      <c r="U970" s="22"/>
      <c r="V970" s="22"/>
      <c r="W970" s="22"/>
      <c r="X970" s="22"/>
      <c r="Y970" s="22"/>
      <c r="Z970" s="22"/>
      <c r="AA970" s="22"/>
      <c r="AB970" s="22"/>
      <c r="AC970" s="41"/>
      <c r="AD970" s="22"/>
    </row>
    <row r="971" spans="18:30" x14ac:dyDescent="0.25">
      <c r="R971" s="22"/>
      <c r="S971" s="22"/>
      <c r="T971" s="331"/>
      <c r="U971" s="22"/>
      <c r="V971" s="22"/>
      <c r="W971" s="22"/>
      <c r="X971" s="22"/>
      <c r="Y971" s="22"/>
      <c r="Z971" s="22"/>
      <c r="AA971" s="22"/>
      <c r="AB971" s="22"/>
      <c r="AC971" s="41"/>
      <c r="AD971" s="22"/>
    </row>
    <row r="972" spans="18:30" x14ac:dyDescent="0.25">
      <c r="R972" s="22"/>
      <c r="S972" s="22"/>
      <c r="T972" s="331"/>
      <c r="U972" s="22"/>
      <c r="V972" s="22"/>
      <c r="W972" s="22"/>
      <c r="X972" s="22"/>
      <c r="Y972" s="22"/>
      <c r="Z972" s="22"/>
      <c r="AA972" s="22"/>
      <c r="AB972" s="22"/>
      <c r="AC972" s="41"/>
      <c r="AD972" s="22"/>
    </row>
    <row r="973" spans="18:30" x14ac:dyDescent="0.25">
      <c r="R973" s="22"/>
      <c r="S973" s="22"/>
      <c r="T973" s="331"/>
      <c r="U973" s="22"/>
      <c r="V973" s="22"/>
      <c r="W973" s="22"/>
      <c r="X973" s="22"/>
      <c r="Y973" s="22"/>
      <c r="Z973" s="22"/>
      <c r="AA973" s="22"/>
      <c r="AB973" s="22"/>
      <c r="AC973" s="41"/>
      <c r="AD973" s="22"/>
    </row>
    <row r="974" spans="18:30" x14ac:dyDescent="0.25">
      <c r="R974" s="22"/>
      <c r="S974" s="22"/>
      <c r="T974" s="331"/>
      <c r="U974" s="22"/>
      <c r="V974" s="22"/>
      <c r="W974" s="22"/>
      <c r="X974" s="22"/>
      <c r="Y974" s="22"/>
      <c r="Z974" s="22"/>
      <c r="AA974" s="22"/>
      <c r="AB974" s="22"/>
      <c r="AC974" s="41"/>
      <c r="AD974" s="22"/>
    </row>
    <row r="975" spans="18:30" x14ac:dyDescent="0.25">
      <c r="R975" s="22"/>
      <c r="S975" s="22"/>
      <c r="T975" s="331"/>
      <c r="U975" s="22"/>
      <c r="V975" s="22"/>
      <c r="W975" s="22"/>
      <c r="X975" s="22"/>
      <c r="Y975" s="22"/>
      <c r="Z975" s="22"/>
      <c r="AA975" s="22"/>
      <c r="AB975" s="22"/>
      <c r="AC975" s="41"/>
      <c r="AD975" s="22"/>
    </row>
    <row r="976" spans="18:30" x14ac:dyDescent="0.25">
      <c r="R976" s="22"/>
      <c r="S976" s="22"/>
      <c r="T976" s="331"/>
      <c r="U976" s="22"/>
      <c r="V976" s="22"/>
      <c r="W976" s="22"/>
      <c r="X976" s="22"/>
      <c r="Y976" s="22"/>
      <c r="Z976" s="22"/>
      <c r="AA976" s="22"/>
      <c r="AB976" s="22"/>
      <c r="AC976" s="41"/>
      <c r="AD976" s="22"/>
    </row>
    <row r="977" spans="18:30" x14ac:dyDescent="0.25">
      <c r="R977" s="22"/>
      <c r="S977" s="22"/>
      <c r="T977" s="331"/>
      <c r="U977" s="22"/>
      <c r="V977" s="22"/>
      <c r="W977" s="22"/>
      <c r="X977" s="22"/>
      <c r="Y977" s="22"/>
      <c r="Z977" s="22"/>
      <c r="AA977" s="22"/>
      <c r="AB977" s="22"/>
      <c r="AC977" s="41"/>
      <c r="AD977" s="22"/>
    </row>
    <row r="978" spans="18:30" x14ac:dyDescent="0.25">
      <c r="R978" s="22"/>
      <c r="S978" s="22"/>
      <c r="T978" s="331"/>
      <c r="U978" s="22"/>
      <c r="V978" s="22"/>
      <c r="W978" s="22"/>
      <c r="X978" s="22"/>
      <c r="Y978" s="22"/>
      <c r="Z978" s="22"/>
      <c r="AA978" s="22"/>
      <c r="AB978" s="22"/>
      <c r="AC978" s="41"/>
      <c r="AD978" s="22"/>
    </row>
    <row r="979" spans="18:30" x14ac:dyDescent="0.25">
      <c r="R979" s="22"/>
      <c r="S979" s="22"/>
      <c r="T979" s="331"/>
      <c r="U979" s="22"/>
      <c r="V979" s="22"/>
      <c r="W979" s="22"/>
      <c r="X979" s="22"/>
      <c r="Y979" s="22"/>
      <c r="Z979" s="22"/>
      <c r="AA979" s="22"/>
      <c r="AB979" s="22"/>
      <c r="AC979" s="41"/>
      <c r="AD979" s="22"/>
    </row>
    <row r="980" spans="18:30" x14ac:dyDescent="0.25">
      <c r="R980" s="22"/>
      <c r="S980" s="22"/>
      <c r="T980" s="331"/>
      <c r="U980" s="22"/>
      <c r="V980" s="22"/>
      <c r="W980" s="22"/>
      <c r="X980" s="22"/>
      <c r="Y980" s="22"/>
      <c r="Z980" s="22"/>
      <c r="AA980" s="22"/>
      <c r="AB980" s="22"/>
      <c r="AC980" s="41"/>
      <c r="AD980" s="22"/>
    </row>
    <row r="981" spans="18:30" x14ac:dyDescent="0.25">
      <c r="R981" s="22"/>
      <c r="S981" s="22"/>
      <c r="T981" s="331"/>
      <c r="U981" s="22"/>
      <c r="V981" s="22"/>
      <c r="W981" s="22"/>
      <c r="X981" s="22"/>
      <c r="Y981" s="22"/>
      <c r="Z981" s="22"/>
      <c r="AA981" s="22"/>
      <c r="AB981" s="22"/>
      <c r="AC981" s="41"/>
      <c r="AD981" s="22"/>
    </row>
    <row r="982" spans="18:30" x14ac:dyDescent="0.25">
      <c r="R982" s="22"/>
      <c r="S982" s="22"/>
      <c r="T982" s="331"/>
      <c r="U982" s="22"/>
      <c r="V982" s="22"/>
      <c r="W982" s="22"/>
      <c r="X982" s="22"/>
      <c r="Y982" s="22"/>
      <c r="Z982" s="22"/>
      <c r="AA982" s="22"/>
      <c r="AB982" s="22"/>
      <c r="AC982" s="41"/>
      <c r="AD982" s="22"/>
    </row>
    <row r="983" spans="18:30" x14ac:dyDescent="0.25">
      <c r="R983" s="22"/>
      <c r="S983" s="22"/>
      <c r="T983" s="331"/>
      <c r="U983" s="22"/>
      <c r="V983" s="22"/>
      <c r="W983" s="22"/>
      <c r="X983" s="22"/>
      <c r="Y983" s="22"/>
      <c r="Z983" s="22"/>
      <c r="AA983" s="22"/>
      <c r="AB983" s="22"/>
      <c r="AC983" s="41"/>
      <c r="AD983" s="22"/>
    </row>
    <row r="984" spans="18:30" x14ac:dyDescent="0.25">
      <c r="R984" s="22"/>
      <c r="S984" s="22"/>
      <c r="T984" s="331"/>
      <c r="U984" s="22"/>
      <c r="V984" s="22"/>
      <c r="W984" s="22"/>
      <c r="X984" s="22"/>
      <c r="Y984" s="22"/>
      <c r="Z984" s="22"/>
      <c r="AA984" s="22"/>
      <c r="AB984" s="22"/>
      <c r="AC984" s="41"/>
      <c r="AD984" s="22"/>
    </row>
    <row r="985" spans="18:30" x14ac:dyDescent="0.25">
      <c r="R985" s="22"/>
      <c r="S985" s="22"/>
      <c r="T985" s="331"/>
      <c r="U985" s="22"/>
      <c r="V985" s="22"/>
      <c r="W985" s="22"/>
      <c r="X985" s="22"/>
      <c r="Y985" s="22"/>
      <c r="Z985" s="22"/>
      <c r="AA985" s="22"/>
      <c r="AB985" s="22"/>
      <c r="AC985" s="41"/>
      <c r="AD985" s="22"/>
    </row>
    <row r="986" spans="18:30" x14ac:dyDescent="0.25">
      <c r="R986" s="22"/>
      <c r="S986" s="22"/>
      <c r="T986" s="331"/>
      <c r="U986" s="22"/>
      <c r="V986" s="22"/>
      <c r="W986" s="22"/>
      <c r="X986" s="22"/>
      <c r="Y986" s="22"/>
      <c r="Z986" s="22"/>
      <c r="AA986" s="22"/>
      <c r="AB986" s="22"/>
      <c r="AC986" s="41"/>
      <c r="AD986" s="22"/>
    </row>
    <row r="987" spans="18:30" x14ac:dyDescent="0.25">
      <c r="R987" s="22"/>
      <c r="S987" s="22"/>
      <c r="T987" s="331"/>
      <c r="U987" s="22"/>
      <c r="V987" s="22"/>
      <c r="W987" s="22"/>
      <c r="X987" s="22"/>
      <c r="Y987" s="22"/>
      <c r="Z987" s="22"/>
      <c r="AA987" s="22"/>
      <c r="AB987" s="22"/>
      <c r="AC987" s="41"/>
      <c r="AD987" s="22"/>
    </row>
    <row r="988" spans="18:30" x14ac:dyDescent="0.25">
      <c r="R988" s="22"/>
      <c r="S988" s="22"/>
      <c r="T988" s="331"/>
      <c r="U988" s="22"/>
      <c r="V988" s="22"/>
      <c r="W988" s="22"/>
      <c r="X988" s="22"/>
      <c r="Y988" s="22"/>
      <c r="Z988" s="22"/>
      <c r="AA988" s="22"/>
      <c r="AB988" s="22"/>
      <c r="AC988" s="41"/>
      <c r="AD988" s="22"/>
    </row>
    <row r="989" spans="18:30" x14ac:dyDescent="0.25">
      <c r="R989" s="22"/>
      <c r="S989" s="22"/>
      <c r="T989" s="331"/>
      <c r="U989" s="22"/>
      <c r="V989" s="22"/>
      <c r="W989" s="22"/>
      <c r="X989" s="22"/>
      <c r="Y989" s="22"/>
      <c r="Z989" s="22"/>
      <c r="AA989" s="22"/>
      <c r="AB989" s="22"/>
      <c r="AC989" s="41"/>
      <c r="AD989" s="22"/>
    </row>
    <row r="990" spans="18:30" x14ac:dyDescent="0.25">
      <c r="R990" s="22"/>
      <c r="S990" s="22"/>
      <c r="T990" s="331"/>
      <c r="U990" s="22"/>
      <c r="V990" s="22"/>
      <c r="W990" s="22"/>
      <c r="X990" s="22"/>
      <c r="Y990" s="22"/>
      <c r="Z990" s="22"/>
      <c r="AA990" s="22"/>
      <c r="AB990" s="22"/>
      <c r="AC990" s="41"/>
      <c r="AD990" s="22"/>
    </row>
    <row r="991" spans="18:30" x14ac:dyDescent="0.25">
      <c r="R991" s="22"/>
      <c r="S991" s="22"/>
      <c r="T991" s="331"/>
      <c r="U991" s="22"/>
      <c r="V991" s="22"/>
      <c r="W991" s="22"/>
      <c r="X991" s="22"/>
      <c r="Y991" s="22"/>
      <c r="Z991" s="22"/>
      <c r="AA991" s="22"/>
      <c r="AB991" s="22"/>
      <c r="AC991" s="41"/>
      <c r="AD991" s="22"/>
    </row>
    <row r="992" spans="18:30" x14ac:dyDescent="0.25">
      <c r="R992" s="22"/>
      <c r="S992" s="22"/>
      <c r="T992" s="331"/>
      <c r="U992" s="22"/>
      <c r="V992" s="22"/>
      <c r="W992" s="22"/>
      <c r="X992" s="22"/>
      <c r="Y992" s="22"/>
      <c r="Z992" s="22"/>
      <c r="AA992" s="22"/>
      <c r="AB992" s="22"/>
      <c r="AC992" s="41"/>
      <c r="AD992" s="22"/>
    </row>
    <row r="993" spans="18:30" x14ac:dyDescent="0.25">
      <c r="R993" s="22"/>
      <c r="S993" s="22"/>
      <c r="T993" s="331"/>
      <c r="U993" s="22"/>
      <c r="V993" s="22"/>
      <c r="W993" s="22"/>
      <c r="X993" s="22"/>
      <c r="Y993" s="22"/>
      <c r="Z993" s="22"/>
      <c r="AA993" s="22"/>
      <c r="AB993" s="22"/>
      <c r="AC993" s="41"/>
      <c r="AD993" s="22"/>
    </row>
    <row r="994" spans="18:30" x14ac:dyDescent="0.25">
      <c r="R994" s="22"/>
      <c r="S994" s="22"/>
      <c r="T994" s="331"/>
      <c r="U994" s="22"/>
      <c r="V994" s="22"/>
      <c r="W994" s="22"/>
      <c r="X994" s="22"/>
      <c r="Y994" s="22"/>
      <c r="Z994" s="22"/>
      <c r="AA994" s="22"/>
      <c r="AB994" s="22"/>
      <c r="AC994" s="41"/>
      <c r="AD994" s="22"/>
    </row>
    <row r="995" spans="18:30" x14ac:dyDescent="0.25">
      <c r="R995" s="22"/>
      <c r="S995" s="22"/>
      <c r="T995" s="331"/>
      <c r="U995" s="22"/>
      <c r="V995" s="22"/>
      <c r="W995" s="22"/>
      <c r="X995" s="22"/>
      <c r="Y995" s="22"/>
      <c r="Z995" s="22"/>
      <c r="AA995" s="22"/>
      <c r="AB995" s="22"/>
      <c r="AC995" s="41"/>
      <c r="AD995" s="22"/>
    </row>
    <row r="996" spans="18:30" x14ac:dyDescent="0.25">
      <c r="R996" s="22"/>
      <c r="S996" s="22"/>
      <c r="T996" s="331"/>
      <c r="U996" s="22"/>
      <c r="V996" s="22"/>
      <c r="W996" s="22"/>
      <c r="X996" s="22"/>
      <c r="Y996" s="22"/>
      <c r="Z996" s="22"/>
      <c r="AA996" s="22"/>
      <c r="AB996" s="22"/>
      <c r="AC996" s="41"/>
      <c r="AD996" s="22"/>
    </row>
    <row r="997" spans="18:30" x14ac:dyDescent="0.25">
      <c r="R997" s="22"/>
      <c r="S997" s="22"/>
      <c r="T997" s="331"/>
      <c r="U997" s="22"/>
      <c r="V997" s="22"/>
      <c r="W997" s="22"/>
      <c r="X997" s="22"/>
      <c r="Y997" s="22"/>
      <c r="Z997" s="22"/>
      <c r="AA997" s="22"/>
      <c r="AB997" s="22"/>
      <c r="AC997" s="41"/>
      <c r="AD997" s="22"/>
    </row>
    <row r="998" spans="18:30" x14ac:dyDescent="0.25">
      <c r="R998" s="22"/>
      <c r="S998" s="22"/>
      <c r="T998" s="331"/>
      <c r="U998" s="22"/>
      <c r="V998" s="22"/>
      <c r="W998" s="22"/>
      <c r="X998" s="22"/>
      <c r="Y998" s="22"/>
      <c r="Z998" s="22"/>
      <c r="AA998" s="22"/>
      <c r="AB998" s="22"/>
      <c r="AC998" s="41"/>
      <c r="AD998" s="22"/>
    </row>
    <row r="999" spans="18:30" x14ac:dyDescent="0.25">
      <c r="R999" s="22"/>
      <c r="S999" s="22"/>
      <c r="T999" s="331"/>
      <c r="U999" s="22"/>
      <c r="V999" s="22"/>
      <c r="W999" s="22"/>
      <c r="X999" s="22"/>
      <c r="Y999" s="22"/>
      <c r="Z999" s="22"/>
      <c r="AA999" s="22"/>
      <c r="AB999" s="22"/>
      <c r="AC999" s="41"/>
      <c r="AD999" s="22"/>
    </row>
    <row r="1000" spans="18:30" x14ac:dyDescent="0.25">
      <c r="R1000" s="22"/>
      <c r="S1000" s="22"/>
      <c r="T1000" s="331"/>
      <c r="U1000" s="22"/>
      <c r="V1000" s="22"/>
      <c r="W1000" s="22"/>
      <c r="X1000" s="22"/>
      <c r="Y1000" s="22"/>
      <c r="Z1000" s="22"/>
      <c r="AA1000" s="22"/>
      <c r="AB1000" s="22"/>
      <c r="AC1000" s="41"/>
      <c r="AD1000" s="22"/>
    </row>
    <row r="1001" spans="18:30" x14ac:dyDescent="0.25">
      <c r="R1001" s="22"/>
      <c r="S1001" s="22"/>
      <c r="T1001" s="331"/>
      <c r="U1001" s="22"/>
      <c r="V1001" s="22"/>
      <c r="W1001" s="22"/>
      <c r="X1001" s="22"/>
      <c r="Y1001" s="22"/>
      <c r="Z1001" s="22"/>
      <c r="AA1001" s="22"/>
      <c r="AB1001" s="22"/>
      <c r="AC1001" s="41"/>
      <c r="AD1001" s="22"/>
    </row>
    <row r="1002" spans="18:30" x14ac:dyDescent="0.25">
      <c r="R1002" s="22"/>
      <c r="S1002" s="22"/>
      <c r="T1002" s="331"/>
      <c r="U1002" s="22"/>
      <c r="V1002" s="22"/>
      <c r="W1002" s="22"/>
      <c r="X1002" s="22"/>
      <c r="Y1002" s="22"/>
      <c r="Z1002" s="22"/>
      <c r="AA1002" s="22"/>
      <c r="AB1002" s="22"/>
      <c r="AC1002" s="41"/>
      <c r="AD1002" s="22"/>
    </row>
    <row r="1003" spans="18:30" x14ac:dyDescent="0.25">
      <c r="R1003" s="22"/>
      <c r="S1003" s="22"/>
      <c r="T1003" s="331"/>
      <c r="U1003" s="22"/>
      <c r="V1003" s="22"/>
      <c r="W1003" s="22"/>
      <c r="X1003" s="22"/>
      <c r="Y1003" s="22"/>
      <c r="Z1003" s="22"/>
      <c r="AA1003" s="22"/>
      <c r="AB1003" s="22"/>
      <c r="AC1003" s="41"/>
      <c r="AD1003" s="22"/>
    </row>
    <row r="1004" spans="18:30" x14ac:dyDescent="0.25">
      <c r="R1004" s="22"/>
      <c r="S1004" s="22"/>
      <c r="T1004" s="331"/>
      <c r="U1004" s="22"/>
      <c r="V1004" s="22"/>
      <c r="W1004" s="22"/>
      <c r="X1004" s="22"/>
      <c r="Y1004" s="22"/>
      <c r="Z1004" s="22"/>
      <c r="AA1004" s="22"/>
      <c r="AB1004" s="22"/>
      <c r="AC1004" s="41"/>
      <c r="AD1004" s="22"/>
    </row>
    <row r="1005" spans="18:30" x14ac:dyDescent="0.25">
      <c r="R1005" s="22"/>
      <c r="S1005" s="22"/>
      <c r="T1005" s="331"/>
      <c r="U1005" s="22"/>
      <c r="V1005" s="22"/>
      <c r="W1005" s="22"/>
      <c r="X1005" s="22"/>
      <c r="Y1005" s="22"/>
      <c r="Z1005" s="22"/>
      <c r="AA1005" s="22"/>
      <c r="AB1005" s="22"/>
      <c r="AC1005" s="41"/>
      <c r="AD1005" s="22"/>
    </row>
    <row r="1006" spans="18:30" x14ac:dyDescent="0.25">
      <c r="R1006" s="22"/>
      <c r="S1006" s="22"/>
      <c r="T1006" s="331"/>
      <c r="U1006" s="22"/>
      <c r="V1006" s="22"/>
      <c r="W1006" s="22"/>
      <c r="X1006" s="22"/>
      <c r="Y1006" s="22"/>
      <c r="Z1006" s="22"/>
      <c r="AA1006" s="22"/>
      <c r="AB1006" s="22"/>
      <c r="AC1006" s="41"/>
      <c r="AD1006" s="22"/>
    </row>
    <row r="1007" spans="18:30" x14ac:dyDescent="0.25">
      <c r="R1007" s="22"/>
      <c r="S1007" s="22"/>
      <c r="T1007" s="331"/>
      <c r="U1007" s="22"/>
      <c r="V1007" s="22"/>
      <c r="W1007" s="22"/>
      <c r="X1007" s="22"/>
      <c r="Y1007" s="22"/>
      <c r="Z1007" s="22"/>
      <c r="AA1007" s="22"/>
      <c r="AB1007" s="22"/>
      <c r="AC1007" s="41"/>
      <c r="AD1007" s="22"/>
    </row>
    <row r="1008" spans="18:30" x14ac:dyDescent="0.25">
      <c r="R1008" s="22"/>
      <c r="S1008" s="22"/>
      <c r="T1008" s="331"/>
      <c r="U1008" s="22"/>
      <c r="V1008" s="22"/>
      <c r="W1008" s="22"/>
      <c r="X1008" s="22"/>
      <c r="Y1008" s="22"/>
      <c r="Z1008" s="22"/>
      <c r="AA1008" s="22"/>
      <c r="AB1008" s="22"/>
      <c r="AC1008" s="41"/>
      <c r="AD1008" s="22"/>
    </row>
    <row r="1009" spans="18:30" x14ac:dyDescent="0.25">
      <c r="R1009" s="22"/>
      <c r="S1009" s="22"/>
      <c r="T1009" s="331"/>
      <c r="U1009" s="22"/>
      <c r="V1009" s="22"/>
      <c r="W1009" s="22"/>
      <c r="X1009" s="22"/>
      <c r="Y1009" s="22"/>
      <c r="Z1009" s="22"/>
      <c r="AA1009" s="22"/>
      <c r="AB1009" s="22"/>
      <c r="AC1009" s="41"/>
      <c r="AD1009" s="22"/>
    </row>
    <row r="1010" spans="18:30" x14ac:dyDescent="0.25">
      <c r="R1010" s="22"/>
      <c r="S1010" s="22"/>
      <c r="T1010" s="331"/>
      <c r="U1010" s="22"/>
      <c r="V1010" s="22"/>
      <c r="W1010" s="22"/>
      <c r="X1010" s="22"/>
      <c r="Y1010" s="22"/>
      <c r="Z1010" s="22"/>
      <c r="AA1010" s="22"/>
      <c r="AB1010" s="22"/>
      <c r="AC1010" s="41"/>
      <c r="AD1010" s="22"/>
    </row>
    <row r="1011" spans="18:30" x14ac:dyDescent="0.25">
      <c r="R1011" s="22"/>
      <c r="S1011" s="22"/>
      <c r="T1011" s="331"/>
      <c r="U1011" s="22"/>
      <c r="V1011" s="22"/>
      <c r="W1011" s="22"/>
      <c r="X1011" s="22"/>
      <c r="Y1011" s="22"/>
      <c r="Z1011" s="22"/>
      <c r="AA1011" s="22"/>
      <c r="AB1011" s="22"/>
      <c r="AC1011" s="41"/>
      <c r="AD1011" s="22"/>
    </row>
    <row r="1012" spans="18:30" x14ac:dyDescent="0.25">
      <c r="R1012" s="22"/>
      <c r="S1012" s="22"/>
      <c r="T1012" s="331"/>
      <c r="U1012" s="22"/>
      <c r="V1012" s="22"/>
      <c r="W1012" s="22"/>
      <c r="X1012" s="22"/>
      <c r="Y1012" s="22"/>
      <c r="Z1012" s="22"/>
      <c r="AA1012" s="22"/>
      <c r="AB1012" s="22"/>
      <c r="AC1012" s="41"/>
      <c r="AD1012" s="22"/>
    </row>
    <row r="1013" spans="18:30" x14ac:dyDescent="0.25">
      <c r="R1013" s="22"/>
      <c r="S1013" s="22"/>
      <c r="T1013" s="331"/>
      <c r="U1013" s="22"/>
      <c r="V1013" s="22"/>
      <c r="W1013" s="22"/>
      <c r="X1013" s="22"/>
      <c r="Y1013" s="22"/>
      <c r="Z1013" s="22"/>
      <c r="AA1013" s="22"/>
      <c r="AB1013" s="22"/>
      <c r="AC1013" s="41"/>
      <c r="AD1013" s="22"/>
    </row>
    <row r="1014" spans="18:30" x14ac:dyDescent="0.25">
      <c r="R1014" s="22"/>
      <c r="S1014" s="22"/>
      <c r="T1014" s="331"/>
      <c r="U1014" s="22"/>
      <c r="V1014" s="22"/>
      <c r="W1014" s="22"/>
      <c r="X1014" s="22"/>
      <c r="Y1014" s="22"/>
      <c r="Z1014" s="22"/>
      <c r="AA1014" s="22"/>
      <c r="AB1014" s="22"/>
      <c r="AC1014" s="41"/>
      <c r="AD1014" s="22"/>
    </row>
    <row r="1015" spans="18:30" x14ac:dyDescent="0.25">
      <c r="R1015" s="22"/>
      <c r="S1015" s="22"/>
      <c r="T1015" s="331"/>
      <c r="U1015" s="22"/>
      <c r="V1015" s="22"/>
      <c r="W1015" s="22"/>
      <c r="X1015" s="22"/>
      <c r="Y1015" s="22"/>
      <c r="Z1015" s="22"/>
      <c r="AA1015" s="22"/>
      <c r="AB1015" s="22"/>
      <c r="AC1015" s="41"/>
      <c r="AD1015" s="22"/>
    </row>
    <row r="1016" spans="18:30" x14ac:dyDescent="0.25">
      <c r="R1016" s="22"/>
      <c r="S1016" s="22"/>
      <c r="T1016" s="331"/>
      <c r="U1016" s="22"/>
      <c r="V1016" s="22"/>
      <c r="W1016" s="22"/>
      <c r="X1016" s="22"/>
      <c r="Y1016" s="22"/>
      <c r="Z1016" s="22"/>
      <c r="AA1016" s="22"/>
      <c r="AB1016" s="22"/>
      <c r="AC1016" s="41"/>
      <c r="AD1016" s="22"/>
    </row>
    <row r="1017" spans="18:30" x14ac:dyDescent="0.25">
      <c r="R1017" s="22"/>
      <c r="S1017" s="22"/>
      <c r="T1017" s="331"/>
      <c r="U1017" s="22"/>
      <c r="V1017" s="22"/>
      <c r="W1017" s="22"/>
      <c r="X1017" s="22"/>
      <c r="Y1017" s="22"/>
      <c r="Z1017" s="22"/>
      <c r="AA1017" s="22"/>
      <c r="AB1017" s="22"/>
      <c r="AC1017" s="41"/>
      <c r="AD1017" s="22"/>
    </row>
    <row r="1018" spans="18:30" x14ac:dyDescent="0.25">
      <c r="R1018" s="22"/>
      <c r="S1018" s="22"/>
      <c r="T1018" s="331"/>
      <c r="U1018" s="22"/>
      <c r="V1018" s="22"/>
      <c r="W1018" s="22"/>
      <c r="X1018" s="22"/>
      <c r="Y1018" s="22"/>
      <c r="Z1018" s="22"/>
      <c r="AA1018" s="22"/>
      <c r="AB1018" s="22"/>
      <c r="AC1018" s="41"/>
      <c r="AD1018" s="22"/>
    </row>
    <row r="1019" spans="18:30" x14ac:dyDescent="0.25">
      <c r="R1019" s="22"/>
      <c r="S1019" s="22"/>
      <c r="T1019" s="331"/>
      <c r="U1019" s="22"/>
      <c r="V1019" s="22"/>
      <c r="W1019" s="22"/>
      <c r="X1019" s="22"/>
      <c r="Y1019" s="22"/>
      <c r="Z1019" s="22"/>
      <c r="AA1019" s="22"/>
      <c r="AB1019" s="22"/>
      <c r="AC1019" s="41"/>
      <c r="AD1019" s="22"/>
    </row>
    <row r="1020" spans="18:30" x14ac:dyDescent="0.25">
      <c r="R1020" s="22"/>
      <c r="S1020" s="22"/>
      <c r="T1020" s="331"/>
      <c r="U1020" s="22"/>
      <c r="V1020" s="22"/>
      <c r="W1020" s="22"/>
      <c r="X1020" s="22"/>
      <c r="Y1020" s="22"/>
      <c r="Z1020" s="22"/>
      <c r="AA1020" s="22"/>
      <c r="AB1020" s="22"/>
      <c r="AC1020" s="41"/>
      <c r="AD1020" s="22"/>
    </row>
    <row r="1021" spans="18:30" x14ac:dyDescent="0.25">
      <c r="R1021" s="22"/>
      <c r="S1021" s="22"/>
      <c r="T1021" s="331"/>
      <c r="U1021" s="22"/>
      <c r="V1021" s="22"/>
      <c r="W1021" s="22"/>
      <c r="X1021" s="22"/>
      <c r="Y1021" s="22"/>
      <c r="Z1021" s="22"/>
      <c r="AA1021" s="22"/>
      <c r="AB1021" s="22"/>
      <c r="AC1021" s="41"/>
      <c r="AD1021" s="22"/>
    </row>
    <row r="1022" spans="18:30" x14ac:dyDescent="0.25">
      <c r="R1022" s="22"/>
      <c r="S1022" s="22"/>
      <c r="T1022" s="331"/>
      <c r="U1022" s="22"/>
      <c r="V1022" s="22"/>
      <c r="W1022" s="22"/>
      <c r="X1022" s="22"/>
      <c r="Y1022" s="22"/>
      <c r="Z1022" s="22"/>
      <c r="AA1022" s="22"/>
      <c r="AB1022" s="22"/>
      <c r="AC1022" s="41"/>
      <c r="AD1022" s="22"/>
    </row>
    <row r="1023" spans="18:30" x14ac:dyDescent="0.25">
      <c r="R1023" s="22"/>
      <c r="S1023" s="22"/>
      <c r="T1023" s="331"/>
      <c r="U1023" s="22"/>
      <c r="V1023" s="22"/>
      <c r="W1023" s="22"/>
      <c r="X1023" s="22"/>
      <c r="Y1023" s="22"/>
      <c r="Z1023" s="22"/>
      <c r="AA1023" s="22"/>
      <c r="AB1023" s="22"/>
      <c r="AC1023" s="41"/>
      <c r="AD1023" s="22"/>
    </row>
    <row r="1024" spans="18:30" x14ac:dyDescent="0.25">
      <c r="R1024" s="22"/>
      <c r="S1024" s="22"/>
      <c r="T1024" s="331"/>
      <c r="U1024" s="22"/>
      <c r="V1024" s="22"/>
      <c r="W1024" s="22"/>
      <c r="X1024" s="22"/>
      <c r="Y1024" s="22"/>
      <c r="Z1024" s="22"/>
      <c r="AA1024" s="22"/>
      <c r="AB1024" s="22"/>
      <c r="AC1024" s="41"/>
      <c r="AD1024" s="22"/>
    </row>
    <row r="1025" spans="18:30" x14ac:dyDescent="0.25">
      <c r="R1025" s="22"/>
      <c r="S1025" s="22"/>
      <c r="T1025" s="331"/>
      <c r="U1025" s="22"/>
      <c r="V1025" s="22"/>
      <c r="W1025" s="22"/>
      <c r="X1025" s="22"/>
      <c r="Y1025" s="22"/>
      <c r="Z1025" s="22"/>
      <c r="AA1025" s="22"/>
      <c r="AB1025" s="22"/>
      <c r="AC1025" s="41"/>
      <c r="AD1025" s="22"/>
    </row>
    <row r="1026" spans="18:30" x14ac:dyDescent="0.25">
      <c r="R1026" s="22"/>
      <c r="S1026" s="22"/>
      <c r="T1026" s="331"/>
      <c r="U1026" s="22"/>
      <c r="V1026" s="22"/>
      <c r="W1026" s="22"/>
      <c r="X1026" s="22"/>
      <c r="Y1026" s="22"/>
      <c r="Z1026" s="22"/>
      <c r="AA1026" s="22"/>
      <c r="AB1026" s="22"/>
      <c r="AC1026" s="41"/>
      <c r="AD1026" s="22"/>
    </row>
    <row r="1027" spans="18:30" x14ac:dyDescent="0.25">
      <c r="R1027" s="22"/>
      <c r="S1027" s="22"/>
      <c r="T1027" s="331"/>
      <c r="U1027" s="22"/>
      <c r="V1027" s="22"/>
      <c r="W1027" s="22"/>
      <c r="X1027" s="22"/>
      <c r="Y1027" s="22"/>
      <c r="Z1027" s="22"/>
      <c r="AA1027" s="22"/>
      <c r="AB1027" s="22"/>
      <c r="AC1027" s="41"/>
      <c r="AD1027" s="22"/>
    </row>
    <row r="1028" spans="18:30" x14ac:dyDescent="0.25">
      <c r="R1028" s="22"/>
      <c r="S1028" s="22"/>
      <c r="T1028" s="331"/>
      <c r="U1028" s="22"/>
      <c r="V1028" s="22"/>
      <c r="W1028" s="22"/>
      <c r="X1028" s="22"/>
      <c r="Y1028" s="22"/>
      <c r="Z1028" s="22"/>
      <c r="AA1028" s="22"/>
      <c r="AB1028" s="22"/>
      <c r="AC1028" s="41"/>
      <c r="AD1028" s="22"/>
    </row>
    <row r="1029" spans="18:30" x14ac:dyDescent="0.25">
      <c r="R1029" s="22"/>
      <c r="S1029" s="22"/>
      <c r="T1029" s="331"/>
      <c r="U1029" s="22"/>
      <c r="V1029" s="22"/>
      <c r="W1029" s="22"/>
      <c r="X1029" s="22"/>
      <c r="Y1029" s="22"/>
      <c r="Z1029" s="22"/>
      <c r="AA1029" s="22"/>
      <c r="AB1029" s="22"/>
      <c r="AC1029" s="41"/>
      <c r="AD1029" s="22"/>
    </row>
    <row r="1030" spans="18:30" x14ac:dyDescent="0.25">
      <c r="R1030" s="22"/>
      <c r="S1030" s="22"/>
      <c r="T1030" s="331"/>
      <c r="U1030" s="22"/>
      <c r="V1030" s="22"/>
      <c r="W1030" s="22"/>
      <c r="X1030" s="22"/>
      <c r="Y1030" s="22"/>
      <c r="Z1030" s="22"/>
      <c r="AA1030" s="22"/>
      <c r="AB1030" s="22"/>
      <c r="AC1030" s="41"/>
      <c r="AD1030" s="22"/>
    </row>
    <row r="1031" spans="18:30" x14ac:dyDescent="0.25">
      <c r="R1031" s="22"/>
      <c r="S1031" s="22"/>
      <c r="T1031" s="331"/>
      <c r="U1031" s="22"/>
      <c r="V1031" s="22"/>
      <c r="W1031" s="22"/>
      <c r="X1031" s="22"/>
      <c r="Y1031" s="22"/>
      <c r="Z1031" s="22"/>
      <c r="AA1031" s="22"/>
      <c r="AB1031" s="22"/>
      <c r="AC1031" s="41"/>
      <c r="AD1031" s="22"/>
    </row>
    <row r="1032" spans="18:30" x14ac:dyDescent="0.25">
      <c r="R1032" s="22"/>
      <c r="S1032" s="22"/>
      <c r="T1032" s="331"/>
      <c r="U1032" s="22"/>
      <c r="V1032" s="22"/>
      <c r="W1032" s="22"/>
      <c r="X1032" s="22"/>
      <c r="Y1032" s="22"/>
      <c r="Z1032" s="22"/>
      <c r="AA1032" s="22"/>
      <c r="AB1032" s="22"/>
      <c r="AC1032" s="41"/>
      <c r="AD1032" s="22"/>
    </row>
    <row r="1033" spans="18:30" x14ac:dyDescent="0.25">
      <c r="R1033" s="22"/>
      <c r="S1033" s="22"/>
      <c r="T1033" s="331"/>
      <c r="U1033" s="22"/>
      <c r="V1033" s="22"/>
      <c r="W1033" s="22"/>
      <c r="X1033" s="22"/>
      <c r="Y1033" s="22"/>
      <c r="Z1033" s="22"/>
      <c r="AA1033" s="22"/>
      <c r="AB1033" s="22"/>
      <c r="AC1033" s="41"/>
      <c r="AD1033" s="22"/>
    </row>
    <row r="1034" spans="18:30" x14ac:dyDescent="0.25">
      <c r="R1034" s="22"/>
      <c r="S1034" s="22"/>
      <c r="T1034" s="331"/>
      <c r="U1034" s="22"/>
      <c r="V1034" s="22"/>
      <c r="W1034" s="22"/>
      <c r="X1034" s="22"/>
      <c r="Y1034" s="22"/>
      <c r="Z1034" s="22"/>
      <c r="AA1034" s="22"/>
      <c r="AB1034" s="22"/>
      <c r="AC1034" s="41"/>
      <c r="AD1034" s="22"/>
    </row>
    <row r="1035" spans="18:30" x14ac:dyDescent="0.25">
      <c r="R1035" s="22"/>
      <c r="S1035" s="22"/>
      <c r="T1035" s="331"/>
      <c r="U1035" s="22"/>
      <c r="V1035" s="22"/>
      <c r="W1035" s="22"/>
      <c r="X1035" s="22"/>
      <c r="Y1035" s="22"/>
      <c r="Z1035" s="22"/>
      <c r="AA1035" s="22"/>
      <c r="AB1035" s="22"/>
      <c r="AC1035" s="41"/>
      <c r="AD1035" s="22"/>
    </row>
    <row r="1036" spans="18:30" x14ac:dyDescent="0.25">
      <c r="R1036" s="22"/>
      <c r="S1036" s="22"/>
      <c r="T1036" s="331"/>
      <c r="U1036" s="22"/>
      <c r="V1036" s="22"/>
      <c r="W1036" s="22"/>
      <c r="X1036" s="22"/>
      <c r="Y1036" s="22"/>
      <c r="Z1036" s="22"/>
      <c r="AA1036" s="22"/>
      <c r="AB1036" s="22"/>
      <c r="AC1036" s="41"/>
      <c r="AD1036" s="22"/>
    </row>
    <row r="1037" spans="18:30" x14ac:dyDescent="0.25">
      <c r="R1037" s="22"/>
      <c r="S1037" s="22"/>
      <c r="T1037" s="331"/>
      <c r="U1037" s="22"/>
      <c r="V1037" s="22"/>
      <c r="W1037" s="22"/>
      <c r="X1037" s="22"/>
      <c r="Y1037" s="22"/>
      <c r="Z1037" s="22"/>
      <c r="AA1037" s="22"/>
      <c r="AB1037" s="22"/>
      <c r="AC1037" s="41"/>
      <c r="AD1037" s="22"/>
    </row>
    <row r="1038" spans="18:30" x14ac:dyDescent="0.25">
      <c r="R1038" s="22"/>
      <c r="S1038" s="22"/>
      <c r="T1038" s="331"/>
      <c r="U1038" s="22"/>
      <c r="V1038" s="22"/>
      <c r="W1038" s="22"/>
      <c r="X1038" s="22"/>
      <c r="Y1038" s="22"/>
      <c r="Z1038" s="22"/>
      <c r="AA1038" s="22"/>
      <c r="AB1038" s="22"/>
      <c r="AC1038" s="41"/>
      <c r="AD1038" s="22"/>
    </row>
    <row r="1039" spans="18:30" x14ac:dyDescent="0.25">
      <c r="R1039" s="22"/>
      <c r="S1039" s="22"/>
      <c r="T1039" s="331"/>
      <c r="U1039" s="22"/>
      <c r="V1039" s="22"/>
      <c r="W1039" s="22"/>
      <c r="X1039" s="22"/>
      <c r="Y1039" s="22"/>
      <c r="Z1039" s="22"/>
      <c r="AA1039" s="22"/>
      <c r="AB1039" s="22"/>
      <c r="AC1039" s="41"/>
      <c r="AD1039" s="22"/>
    </row>
    <row r="1040" spans="18:30" x14ac:dyDescent="0.25">
      <c r="R1040" s="22"/>
      <c r="S1040" s="22"/>
      <c r="T1040" s="331"/>
      <c r="U1040" s="22"/>
      <c r="V1040" s="22"/>
      <c r="W1040" s="22"/>
      <c r="X1040" s="22"/>
      <c r="Y1040" s="22"/>
      <c r="Z1040" s="22"/>
      <c r="AA1040" s="22"/>
      <c r="AB1040" s="22"/>
      <c r="AC1040" s="41"/>
      <c r="AD1040" s="22"/>
    </row>
    <row r="1041" spans="18:30" x14ac:dyDescent="0.25">
      <c r="R1041" s="22"/>
      <c r="S1041" s="22"/>
      <c r="T1041" s="331"/>
      <c r="U1041" s="22"/>
      <c r="V1041" s="22"/>
      <c r="W1041" s="22"/>
      <c r="X1041" s="22"/>
      <c r="Y1041" s="22"/>
      <c r="Z1041" s="22"/>
      <c r="AA1041" s="22"/>
      <c r="AB1041" s="22"/>
      <c r="AC1041" s="41"/>
      <c r="AD1041" s="22"/>
    </row>
    <row r="1042" spans="18:30" x14ac:dyDescent="0.25">
      <c r="R1042" s="22"/>
      <c r="S1042" s="22"/>
      <c r="T1042" s="331"/>
      <c r="U1042" s="22"/>
      <c r="V1042" s="22"/>
      <c r="W1042" s="22"/>
      <c r="X1042" s="22"/>
      <c r="Y1042" s="22"/>
      <c r="Z1042" s="22"/>
      <c r="AA1042" s="22"/>
      <c r="AB1042" s="22"/>
      <c r="AC1042" s="41"/>
      <c r="AD1042" s="22"/>
    </row>
    <row r="1043" spans="18:30" x14ac:dyDescent="0.25">
      <c r="R1043" s="22"/>
      <c r="S1043" s="22"/>
      <c r="T1043" s="331"/>
      <c r="U1043" s="22"/>
      <c r="V1043" s="22"/>
      <c r="W1043" s="22"/>
      <c r="X1043" s="22"/>
      <c r="Y1043" s="22"/>
      <c r="Z1043" s="22"/>
      <c r="AA1043" s="22"/>
      <c r="AB1043" s="22"/>
      <c r="AC1043" s="41"/>
      <c r="AD1043" s="22"/>
    </row>
    <row r="1044" spans="18:30" x14ac:dyDescent="0.25">
      <c r="R1044" s="22"/>
      <c r="S1044" s="22"/>
      <c r="T1044" s="331"/>
      <c r="U1044" s="22"/>
      <c r="V1044" s="22"/>
      <c r="W1044" s="22"/>
      <c r="X1044" s="22"/>
      <c r="Y1044" s="22"/>
      <c r="Z1044" s="22"/>
      <c r="AA1044" s="22"/>
      <c r="AB1044" s="22"/>
      <c r="AC1044" s="41"/>
      <c r="AD1044" s="22"/>
    </row>
    <row r="1045" spans="18:30" x14ac:dyDescent="0.25">
      <c r="R1045" s="22"/>
      <c r="S1045" s="22"/>
      <c r="T1045" s="331"/>
      <c r="U1045" s="22"/>
      <c r="V1045" s="22"/>
      <c r="W1045" s="22"/>
      <c r="X1045" s="22"/>
      <c r="Y1045" s="22"/>
      <c r="Z1045" s="22"/>
      <c r="AA1045" s="22"/>
      <c r="AB1045" s="22"/>
      <c r="AC1045" s="41"/>
      <c r="AD1045" s="22"/>
    </row>
    <row r="1046" spans="18:30" x14ac:dyDescent="0.25">
      <c r="R1046" s="22"/>
      <c r="S1046" s="22"/>
      <c r="T1046" s="331"/>
      <c r="U1046" s="22"/>
      <c r="V1046" s="22"/>
      <c r="W1046" s="22"/>
      <c r="X1046" s="22"/>
      <c r="Y1046" s="22"/>
      <c r="Z1046" s="22"/>
      <c r="AA1046" s="22"/>
      <c r="AB1046" s="22"/>
      <c r="AC1046" s="41"/>
      <c r="AD1046" s="22"/>
    </row>
    <row r="1047" spans="18:30" x14ac:dyDescent="0.25">
      <c r="R1047" s="22"/>
      <c r="S1047" s="22"/>
      <c r="T1047" s="331"/>
      <c r="U1047" s="22"/>
      <c r="V1047" s="22"/>
      <c r="W1047" s="22"/>
      <c r="X1047" s="22"/>
      <c r="Y1047" s="22"/>
      <c r="Z1047" s="22"/>
      <c r="AA1047" s="22"/>
      <c r="AB1047" s="22"/>
      <c r="AC1047" s="41"/>
      <c r="AD1047" s="22"/>
    </row>
    <row r="1048" spans="18:30" x14ac:dyDescent="0.25">
      <c r="R1048" s="22"/>
      <c r="S1048" s="22"/>
      <c r="T1048" s="331"/>
      <c r="U1048" s="22"/>
      <c r="V1048" s="22"/>
      <c r="W1048" s="22"/>
      <c r="X1048" s="22"/>
      <c r="Y1048" s="22"/>
      <c r="Z1048" s="22"/>
      <c r="AA1048" s="22"/>
      <c r="AB1048" s="22"/>
      <c r="AC1048" s="41"/>
      <c r="AD1048" s="22"/>
    </row>
    <row r="1049" spans="18:30" x14ac:dyDescent="0.25">
      <c r="R1049" s="22"/>
      <c r="S1049" s="22"/>
      <c r="T1049" s="331"/>
      <c r="U1049" s="22"/>
      <c r="V1049" s="22"/>
      <c r="W1049" s="22"/>
      <c r="X1049" s="22"/>
      <c r="Y1049" s="22"/>
      <c r="Z1049" s="22"/>
      <c r="AA1049" s="22"/>
      <c r="AB1049" s="22"/>
      <c r="AC1049" s="41"/>
      <c r="AD1049" s="22"/>
    </row>
    <row r="1050" spans="18:30" x14ac:dyDescent="0.25">
      <c r="R1050" s="22"/>
      <c r="S1050" s="22"/>
      <c r="T1050" s="331"/>
      <c r="U1050" s="22"/>
      <c r="V1050" s="22"/>
      <c r="W1050" s="22"/>
      <c r="X1050" s="22"/>
      <c r="Y1050" s="22"/>
      <c r="Z1050" s="22"/>
      <c r="AA1050" s="22"/>
      <c r="AB1050" s="22"/>
      <c r="AC1050" s="41"/>
      <c r="AD1050" s="22"/>
    </row>
    <row r="1051" spans="18:30" x14ac:dyDescent="0.25">
      <c r="R1051" s="22"/>
      <c r="S1051" s="22"/>
      <c r="T1051" s="331"/>
      <c r="U1051" s="22"/>
      <c r="V1051" s="22"/>
      <c r="W1051" s="22"/>
      <c r="X1051" s="22"/>
      <c r="Y1051" s="22"/>
      <c r="Z1051" s="22"/>
      <c r="AA1051" s="22"/>
      <c r="AB1051" s="22"/>
      <c r="AC1051" s="41"/>
      <c r="AD1051" s="22"/>
    </row>
    <row r="1052" spans="18:30" x14ac:dyDescent="0.25">
      <c r="R1052" s="22"/>
      <c r="S1052" s="22"/>
      <c r="T1052" s="331"/>
      <c r="U1052" s="22"/>
      <c r="V1052" s="22"/>
      <c r="W1052" s="22"/>
      <c r="X1052" s="22"/>
      <c r="Y1052" s="22"/>
      <c r="Z1052" s="22"/>
      <c r="AA1052" s="22"/>
      <c r="AB1052" s="22"/>
      <c r="AC1052" s="41"/>
      <c r="AD1052" s="22"/>
    </row>
    <row r="1053" spans="18:30" x14ac:dyDescent="0.25">
      <c r="R1053" s="22"/>
      <c r="S1053" s="22"/>
      <c r="T1053" s="331"/>
      <c r="U1053" s="22"/>
      <c r="V1053" s="22"/>
      <c r="W1053" s="22"/>
      <c r="X1053" s="22"/>
      <c r="Y1053" s="22"/>
      <c r="Z1053" s="22"/>
      <c r="AA1053" s="22"/>
      <c r="AB1053" s="22"/>
      <c r="AC1053" s="41"/>
      <c r="AD1053" s="22"/>
    </row>
    <row r="1054" spans="18:30" x14ac:dyDescent="0.25">
      <c r="R1054" s="22"/>
      <c r="S1054" s="22"/>
      <c r="T1054" s="331"/>
      <c r="U1054" s="22"/>
      <c r="V1054" s="22"/>
      <c r="W1054" s="22"/>
      <c r="X1054" s="22"/>
      <c r="Y1054" s="22"/>
      <c r="Z1054" s="22"/>
      <c r="AA1054" s="22"/>
      <c r="AB1054" s="22"/>
      <c r="AC1054" s="41"/>
      <c r="AD1054" s="22"/>
    </row>
    <row r="1055" spans="18:30" x14ac:dyDescent="0.25">
      <c r="R1055" s="22"/>
      <c r="S1055" s="22"/>
      <c r="T1055" s="331"/>
      <c r="U1055" s="22"/>
      <c r="V1055" s="22"/>
      <c r="W1055" s="22"/>
      <c r="X1055" s="22"/>
      <c r="Y1055" s="22"/>
      <c r="Z1055" s="22"/>
      <c r="AA1055" s="22"/>
      <c r="AB1055" s="22"/>
      <c r="AC1055" s="41"/>
      <c r="AD1055" s="22"/>
    </row>
    <row r="1056" spans="18:30" x14ac:dyDescent="0.25">
      <c r="R1056" s="22"/>
      <c r="S1056" s="22"/>
      <c r="T1056" s="331"/>
      <c r="U1056" s="22"/>
      <c r="V1056" s="22"/>
      <c r="W1056" s="22"/>
      <c r="X1056" s="22"/>
      <c r="Y1056" s="22"/>
      <c r="Z1056" s="22"/>
      <c r="AA1056" s="22"/>
      <c r="AB1056" s="22"/>
      <c r="AC1056" s="41"/>
      <c r="AD1056" s="22"/>
    </row>
    <row r="1057" spans="18:30" x14ac:dyDescent="0.25">
      <c r="R1057" s="22"/>
      <c r="S1057" s="22"/>
      <c r="T1057" s="331"/>
      <c r="U1057" s="22"/>
      <c r="V1057" s="22"/>
      <c r="W1057" s="22"/>
      <c r="X1057" s="22"/>
      <c r="Y1057" s="22"/>
      <c r="Z1057" s="22"/>
      <c r="AA1057" s="22"/>
      <c r="AB1057" s="22"/>
      <c r="AC1057" s="41"/>
      <c r="AD1057" s="22"/>
    </row>
    <row r="1058" spans="18:30" x14ac:dyDescent="0.25">
      <c r="R1058" s="22"/>
      <c r="S1058" s="22"/>
      <c r="T1058" s="331"/>
      <c r="U1058" s="22"/>
      <c r="V1058" s="22"/>
      <c r="W1058" s="22"/>
      <c r="X1058" s="22"/>
      <c r="Y1058" s="22"/>
      <c r="Z1058" s="22"/>
      <c r="AA1058" s="22"/>
      <c r="AB1058" s="22"/>
      <c r="AC1058" s="41"/>
      <c r="AD1058" s="22"/>
    </row>
    <row r="1059" spans="18:30" x14ac:dyDescent="0.25">
      <c r="R1059" s="22"/>
      <c r="S1059" s="22"/>
      <c r="T1059" s="331"/>
      <c r="U1059" s="22"/>
      <c r="V1059" s="22"/>
      <c r="W1059" s="22"/>
      <c r="X1059" s="22"/>
      <c r="Y1059" s="22"/>
      <c r="Z1059" s="22"/>
      <c r="AA1059" s="22"/>
      <c r="AB1059" s="22"/>
      <c r="AC1059" s="41"/>
      <c r="AD1059" s="22"/>
    </row>
    <row r="1060" spans="18:30" x14ac:dyDescent="0.25">
      <c r="R1060" s="22"/>
      <c r="S1060" s="22"/>
      <c r="T1060" s="331"/>
      <c r="U1060" s="22"/>
      <c r="V1060" s="22"/>
      <c r="W1060" s="22"/>
      <c r="X1060" s="22"/>
      <c r="Y1060" s="22"/>
      <c r="Z1060" s="22"/>
      <c r="AA1060" s="22"/>
      <c r="AB1060" s="22"/>
      <c r="AC1060" s="41"/>
      <c r="AD1060" s="22"/>
    </row>
    <row r="1061" spans="18:30" x14ac:dyDescent="0.25">
      <c r="R1061" s="22"/>
      <c r="S1061" s="22"/>
      <c r="T1061" s="331"/>
      <c r="U1061" s="22"/>
      <c r="V1061" s="22"/>
      <c r="W1061" s="22"/>
      <c r="X1061" s="22"/>
      <c r="Y1061" s="22"/>
      <c r="Z1061" s="22"/>
      <c r="AA1061" s="22"/>
      <c r="AB1061" s="22"/>
      <c r="AC1061" s="41"/>
      <c r="AD1061" s="22"/>
    </row>
    <row r="1062" spans="18:30" x14ac:dyDescent="0.25">
      <c r="R1062" s="22"/>
      <c r="S1062" s="22"/>
      <c r="T1062" s="331"/>
      <c r="U1062" s="22"/>
      <c r="V1062" s="22"/>
      <c r="W1062" s="22"/>
      <c r="X1062" s="22"/>
      <c r="Y1062" s="22"/>
      <c r="Z1062" s="22"/>
      <c r="AA1062" s="22"/>
      <c r="AB1062" s="22"/>
      <c r="AC1062" s="41"/>
      <c r="AD1062" s="22"/>
    </row>
    <row r="1063" spans="18:30" x14ac:dyDescent="0.25">
      <c r="R1063" s="22"/>
      <c r="S1063" s="22"/>
      <c r="T1063" s="331"/>
      <c r="U1063" s="22"/>
      <c r="V1063" s="22"/>
      <c r="W1063" s="22"/>
      <c r="X1063" s="22"/>
      <c r="Y1063" s="22"/>
      <c r="Z1063" s="22"/>
      <c r="AA1063" s="22"/>
      <c r="AB1063" s="22"/>
      <c r="AC1063" s="41"/>
      <c r="AD1063" s="22"/>
    </row>
    <row r="1064" spans="18:30" x14ac:dyDescent="0.25">
      <c r="R1064" s="22"/>
      <c r="S1064" s="22"/>
      <c r="T1064" s="331"/>
      <c r="U1064" s="22"/>
      <c r="V1064" s="22"/>
      <c r="W1064" s="22"/>
      <c r="X1064" s="22"/>
      <c r="Y1064" s="22"/>
      <c r="Z1064" s="22"/>
      <c r="AA1064" s="22"/>
      <c r="AB1064" s="22"/>
      <c r="AC1064" s="41"/>
      <c r="AD1064" s="22"/>
    </row>
    <row r="1065" spans="18:30" x14ac:dyDescent="0.25">
      <c r="R1065" s="22"/>
      <c r="S1065" s="22"/>
      <c r="T1065" s="331"/>
      <c r="U1065" s="22"/>
      <c r="V1065" s="22"/>
      <c r="W1065" s="22"/>
      <c r="X1065" s="22"/>
      <c r="Y1065" s="22"/>
      <c r="Z1065" s="22"/>
      <c r="AA1065" s="22"/>
      <c r="AB1065" s="22"/>
      <c r="AC1065" s="41"/>
      <c r="AD1065" s="22"/>
    </row>
    <row r="1066" spans="18:30" x14ac:dyDescent="0.25">
      <c r="R1066" s="22"/>
      <c r="S1066" s="22"/>
      <c r="T1066" s="331"/>
      <c r="U1066" s="22"/>
      <c r="V1066" s="22"/>
      <c r="W1066" s="22"/>
      <c r="X1066" s="22"/>
      <c r="Y1066" s="22"/>
      <c r="Z1066" s="22"/>
      <c r="AA1066" s="22"/>
      <c r="AB1066" s="22"/>
      <c r="AC1066" s="41"/>
      <c r="AD1066" s="22"/>
    </row>
    <row r="1067" spans="18:30" x14ac:dyDescent="0.25">
      <c r="R1067" s="22"/>
      <c r="S1067" s="22"/>
      <c r="T1067" s="331"/>
      <c r="U1067" s="22"/>
      <c r="V1067" s="22"/>
      <c r="W1067" s="22"/>
      <c r="X1067" s="22"/>
      <c r="Y1067" s="22"/>
      <c r="Z1067" s="22"/>
      <c r="AA1067" s="22"/>
      <c r="AB1067" s="22"/>
      <c r="AC1067" s="41"/>
      <c r="AD1067" s="22"/>
    </row>
    <row r="1068" spans="18:30" x14ac:dyDescent="0.25">
      <c r="R1068" s="22"/>
      <c r="S1068" s="22"/>
      <c r="T1068" s="331"/>
      <c r="U1068" s="22"/>
      <c r="V1068" s="22"/>
      <c r="W1068" s="22"/>
      <c r="X1068" s="22"/>
      <c r="Y1068" s="22"/>
      <c r="Z1068" s="22"/>
      <c r="AA1068" s="22"/>
      <c r="AB1068" s="22"/>
      <c r="AC1068" s="41"/>
      <c r="AD1068" s="22"/>
    </row>
    <row r="1069" spans="18:30" x14ac:dyDescent="0.25">
      <c r="R1069" s="22"/>
      <c r="S1069" s="22"/>
      <c r="T1069" s="331"/>
      <c r="U1069" s="22"/>
      <c r="V1069" s="22"/>
      <c r="W1069" s="22"/>
      <c r="X1069" s="22"/>
      <c r="Y1069" s="22"/>
      <c r="Z1069" s="22"/>
      <c r="AA1069" s="22"/>
      <c r="AB1069" s="22"/>
      <c r="AC1069" s="41"/>
      <c r="AD1069" s="22"/>
    </row>
    <row r="1070" spans="18:30" x14ac:dyDescent="0.25">
      <c r="R1070" s="22"/>
      <c r="S1070" s="22"/>
      <c r="T1070" s="331"/>
      <c r="U1070" s="22"/>
      <c r="V1070" s="22"/>
      <c r="W1070" s="22"/>
      <c r="X1070" s="22"/>
      <c r="Y1070" s="22"/>
      <c r="Z1070" s="22"/>
      <c r="AA1070" s="22"/>
      <c r="AB1070" s="22"/>
      <c r="AC1070" s="41"/>
      <c r="AD1070" s="22"/>
    </row>
    <row r="1071" spans="18:30" x14ac:dyDescent="0.25">
      <c r="R1071" s="22"/>
      <c r="S1071" s="22"/>
      <c r="T1071" s="331"/>
      <c r="U1071" s="22"/>
      <c r="V1071" s="22"/>
      <c r="W1071" s="22"/>
      <c r="X1071" s="22"/>
      <c r="Y1071" s="22"/>
      <c r="Z1071" s="22"/>
      <c r="AA1071" s="22"/>
      <c r="AB1071" s="22"/>
      <c r="AC1071" s="41"/>
      <c r="AD1071" s="22"/>
    </row>
    <row r="1072" spans="18:30" x14ac:dyDescent="0.25">
      <c r="R1072" s="22"/>
      <c r="S1072" s="22"/>
      <c r="T1072" s="331"/>
      <c r="U1072" s="22"/>
      <c r="V1072" s="22"/>
      <c r="W1072" s="22"/>
      <c r="X1072" s="22"/>
      <c r="Y1072" s="22"/>
      <c r="Z1072" s="22"/>
      <c r="AA1072" s="22"/>
      <c r="AB1072" s="22"/>
      <c r="AC1072" s="41"/>
      <c r="AD1072" s="22"/>
    </row>
    <row r="1073" spans="18:30" x14ac:dyDescent="0.25">
      <c r="R1073" s="22"/>
      <c r="S1073" s="22"/>
      <c r="T1073" s="331"/>
      <c r="U1073" s="22"/>
      <c r="V1073" s="22"/>
      <c r="W1073" s="22"/>
      <c r="X1073" s="22"/>
      <c r="Y1073" s="22"/>
      <c r="Z1073" s="22"/>
      <c r="AA1073" s="22"/>
      <c r="AB1073" s="22"/>
      <c r="AC1073" s="41"/>
      <c r="AD1073" s="22"/>
    </row>
    <row r="1074" spans="18:30" x14ac:dyDescent="0.25">
      <c r="R1074" s="22"/>
      <c r="S1074" s="22"/>
      <c r="T1074" s="331"/>
      <c r="U1074" s="22"/>
      <c r="V1074" s="22"/>
      <c r="W1074" s="22"/>
      <c r="X1074" s="22"/>
      <c r="Y1074" s="22"/>
      <c r="Z1074" s="22"/>
      <c r="AA1074" s="22"/>
      <c r="AB1074" s="22"/>
      <c r="AC1074" s="41"/>
      <c r="AD1074" s="22"/>
    </row>
    <row r="1075" spans="18:30" x14ac:dyDescent="0.25">
      <c r="R1075" s="22"/>
      <c r="S1075" s="22"/>
      <c r="T1075" s="331"/>
      <c r="U1075" s="22"/>
      <c r="V1075" s="22"/>
      <c r="W1075" s="22"/>
      <c r="X1075" s="22"/>
      <c r="Y1075" s="22"/>
      <c r="Z1075" s="22"/>
      <c r="AA1075" s="22"/>
      <c r="AB1075" s="22"/>
      <c r="AC1075" s="41"/>
      <c r="AD1075" s="22"/>
    </row>
    <row r="1076" spans="18:30" x14ac:dyDescent="0.25">
      <c r="R1076" s="22"/>
      <c r="S1076" s="22"/>
      <c r="T1076" s="331"/>
      <c r="U1076" s="22"/>
      <c r="V1076" s="22"/>
      <c r="W1076" s="22"/>
      <c r="X1076" s="22"/>
      <c r="Y1076" s="22"/>
      <c r="Z1076" s="22"/>
      <c r="AA1076" s="22"/>
      <c r="AB1076" s="22"/>
      <c r="AC1076" s="41"/>
      <c r="AD1076" s="22"/>
    </row>
    <row r="1077" spans="18:30" x14ac:dyDescent="0.25">
      <c r="R1077" s="22"/>
      <c r="S1077" s="22"/>
      <c r="T1077" s="331"/>
      <c r="U1077" s="22"/>
      <c r="V1077" s="22"/>
      <c r="W1077" s="22"/>
      <c r="X1077" s="22"/>
      <c r="Y1077" s="22"/>
      <c r="Z1077" s="22"/>
      <c r="AA1077" s="22"/>
      <c r="AB1077" s="22"/>
      <c r="AC1077" s="41"/>
      <c r="AD1077" s="22"/>
    </row>
    <row r="1078" spans="18:30" x14ac:dyDescent="0.25">
      <c r="R1078" s="22"/>
      <c r="S1078" s="22"/>
      <c r="T1078" s="331"/>
      <c r="U1078" s="22"/>
      <c r="V1078" s="22"/>
      <c r="W1078" s="22"/>
      <c r="X1078" s="22"/>
      <c r="Y1078" s="22"/>
      <c r="Z1078" s="22"/>
      <c r="AA1078" s="22"/>
      <c r="AB1078" s="22"/>
      <c r="AC1078" s="41"/>
      <c r="AD1078" s="22"/>
    </row>
    <row r="1079" spans="18:30" x14ac:dyDescent="0.25">
      <c r="R1079" s="22"/>
      <c r="S1079" s="22"/>
      <c r="T1079" s="331"/>
      <c r="U1079" s="22"/>
      <c r="V1079" s="22"/>
      <c r="W1079" s="22"/>
      <c r="X1079" s="22"/>
      <c r="Y1079" s="22"/>
      <c r="Z1079" s="22"/>
      <c r="AA1079" s="22"/>
      <c r="AB1079" s="22"/>
      <c r="AC1079" s="41"/>
      <c r="AD1079" s="22"/>
    </row>
    <row r="1080" spans="18:30" x14ac:dyDescent="0.25">
      <c r="R1080" s="22"/>
      <c r="S1080" s="22"/>
      <c r="T1080" s="331"/>
      <c r="U1080" s="22"/>
      <c r="V1080" s="22"/>
      <c r="W1080" s="22"/>
      <c r="X1080" s="22"/>
      <c r="Y1080" s="22"/>
      <c r="Z1080" s="22"/>
      <c r="AA1080" s="22"/>
      <c r="AB1080" s="22"/>
      <c r="AC1080" s="41"/>
      <c r="AD1080" s="22"/>
    </row>
    <row r="1081" spans="18:30" x14ac:dyDescent="0.25">
      <c r="R1081" s="22"/>
      <c r="S1081" s="22"/>
      <c r="T1081" s="331"/>
      <c r="U1081" s="22"/>
      <c r="V1081" s="22"/>
      <c r="W1081" s="22"/>
      <c r="X1081" s="22"/>
      <c r="Y1081" s="22"/>
      <c r="Z1081" s="22"/>
      <c r="AA1081" s="22"/>
      <c r="AB1081" s="22"/>
      <c r="AC1081" s="41"/>
      <c r="AD1081" s="22"/>
    </row>
    <row r="1082" spans="18:30" x14ac:dyDescent="0.25">
      <c r="R1082" s="22"/>
      <c r="S1082" s="22"/>
      <c r="T1082" s="331"/>
      <c r="U1082" s="22"/>
      <c r="V1082" s="22"/>
      <c r="W1082" s="22"/>
      <c r="X1082" s="22"/>
      <c r="Y1082" s="22"/>
      <c r="Z1082" s="22"/>
      <c r="AA1082" s="22"/>
      <c r="AB1082" s="22"/>
      <c r="AC1082" s="41"/>
      <c r="AD1082" s="22"/>
    </row>
    <row r="1083" spans="18:30" x14ac:dyDescent="0.25">
      <c r="R1083" s="22"/>
      <c r="S1083" s="22"/>
      <c r="T1083" s="331"/>
      <c r="U1083" s="22"/>
      <c r="V1083" s="22"/>
      <c r="W1083" s="22"/>
      <c r="X1083" s="22"/>
      <c r="Y1083" s="22"/>
      <c r="Z1083" s="22"/>
      <c r="AA1083" s="22"/>
      <c r="AB1083" s="22"/>
      <c r="AC1083" s="41"/>
      <c r="AD1083" s="22"/>
    </row>
    <row r="1084" spans="18:30" x14ac:dyDescent="0.25">
      <c r="R1084" s="22"/>
      <c r="S1084" s="22"/>
      <c r="T1084" s="331"/>
      <c r="U1084" s="22"/>
      <c r="V1084" s="22"/>
      <c r="W1084" s="22"/>
      <c r="X1084" s="22"/>
      <c r="Y1084" s="22"/>
      <c r="Z1084" s="22"/>
      <c r="AA1084" s="22"/>
      <c r="AB1084" s="22"/>
      <c r="AC1084" s="41"/>
      <c r="AD1084" s="22"/>
    </row>
    <row r="1085" spans="18:30" x14ac:dyDescent="0.25">
      <c r="R1085" s="22"/>
      <c r="S1085" s="22"/>
      <c r="T1085" s="331"/>
      <c r="U1085" s="22"/>
      <c r="V1085" s="22"/>
      <c r="W1085" s="22"/>
      <c r="X1085" s="22"/>
      <c r="Y1085" s="22"/>
      <c r="Z1085" s="22"/>
      <c r="AA1085" s="22"/>
      <c r="AB1085" s="22"/>
      <c r="AC1085" s="41"/>
      <c r="AD1085" s="22"/>
    </row>
    <row r="1086" spans="18:30" x14ac:dyDescent="0.25">
      <c r="R1086" s="22"/>
      <c r="S1086" s="22"/>
      <c r="T1086" s="331"/>
      <c r="U1086" s="22"/>
      <c r="V1086" s="22"/>
      <c r="W1086" s="22"/>
      <c r="X1086" s="22"/>
      <c r="Y1086" s="22"/>
      <c r="Z1086" s="22"/>
      <c r="AA1086" s="22"/>
      <c r="AB1086" s="22"/>
      <c r="AC1086" s="41"/>
      <c r="AD1086" s="22"/>
    </row>
    <row r="1087" spans="18:30" x14ac:dyDescent="0.25">
      <c r="R1087" s="22"/>
      <c r="S1087" s="22"/>
      <c r="T1087" s="331"/>
      <c r="U1087" s="22"/>
      <c r="V1087" s="22"/>
      <c r="W1087" s="22"/>
      <c r="X1087" s="22"/>
      <c r="Y1087" s="22"/>
      <c r="Z1087" s="22"/>
      <c r="AA1087" s="22"/>
      <c r="AB1087" s="22"/>
      <c r="AC1087" s="41"/>
      <c r="AD1087" s="22"/>
    </row>
    <row r="1088" spans="18:30" x14ac:dyDescent="0.25">
      <c r="R1088" s="22"/>
      <c r="S1088" s="22"/>
      <c r="T1088" s="331"/>
      <c r="U1088" s="22"/>
      <c r="V1088" s="22"/>
      <c r="W1088" s="22"/>
      <c r="X1088" s="22"/>
      <c r="Y1088" s="22"/>
      <c r="Z1088" s="22"/>
      <c r="AA1088" s="22"/>
      <c r="AB1088" s="22"/>
      <c r="AC1088" s="41"/>
      <c r="AD1088" s="22"/>
    </row>
    <row r="1089" spans="18:30" x14ac:dyDescent="0.25">
      <c r="R1089" s="22"/>
      <c r="S1089" s="22"/>
      <c r="T1089" s="331"/>
      <c r="U1089" s="22"/>
      <c r="V1089" s="22"/>
      <c r="W1089" s="22"/>
      <c r="X1089" s="22"/>
      <c r="Y1089" s="22"/>
      <c r="Z1089" s="22"/>
      <c r="AA1089" s="22"/>
      <c r="AB1089" s="22"/>
      <c r="AC1089" s="41"/>
      <c r="AD1089" s="22"/>
    </row>
    <row r="1090" spans="18:30" x14ac:dyDescent="0.25">
      <c r="R1090" s="22"/>
      <c r="S1090" s="22"/>
      <c r="T1090" s="331"/>
      <c r="U1090" s="22"/>
      <c r="V1090" s="22"/>
      <c r="W1090" s="22"/>
      <c r="X1090" s="22"/>
      <c r="Y1090" s="22"/>
      <c r="Z1090" s="22"/>
      <c r="AA1090" s="22"/>
      <c r="AB1090" s="22"/>
      <c r="AC1090" s="41"/>
      <c r="AD1090" s="22"/>
    </row>
    <row r="1091" spans="18:30" x14ac:dyDescent="0.25">
      <c r="R1091" s="22"/>
      <c r="S1091" s="22"/>
      <c r="T1091" s="331"/>
      <c r="U1091" s="22"/>
      <c r="V1091" s="22"/>
      <c r="W1091" s="22"/>
      <c r="X1091" s="22"/>
      <c r="Y1091" s="22"/>
      <c r="Z1091" s="22"/>
      <c r="AA1091" s="22"/>
      <c r="AB1091" s="22"/>
      <c r="AC1091" s="41"/>
      <c r="AD1091" s="22"/>
    </row>
    <row r="1092" spans="18:30" x14ac:dyDescent="0.25">
      <c r="R1092" s="22"/>
      <c r="S1092" s="22"/>
      <c r="T1092" s="331"/>
      <c r="U1092" s="22"/>
      <c r="V1092" s="22"/>
      <c r="W1092" s="22"/>
      <c r="X1092" s="22"/>
      <c r="Y1092" s="22"/>
      <c r="Z1092" s="22"/>
      <c r="AA1092" s="22"/>
      <c r="AB1092" s="22"/>
      <c r="AC1092" s="41"/>
      <c r="AD1092" s="22"/>
    </row>
    <row r="1093" spans="18:30" x14ac:dyDescent="0.25">
      <c r="R1093" s="22"/>
      <c r="S1093" s="22"/>
      <c r="T1093" s="331"/>
      <c r="U1093" s="22"/>
      <c r="V1093" s="22"/>
      <c r="W1093" s="22"/>
      <c r="X1093" s="22"/>
      <c r="Y1093" s="22"/>
      <c r="Z1093" s="22"/>
      <c r="AA1093" s="22"/>
      <c r="AB1093" s="22"/>
      <c r="AC1093" s="41"/>
      <c r="AD1093" s="22"/>
    </row>
    <row r="1094" spans="18:30" x14ac:dyDescent="0.25">
      <c r="R1094" s="22"/>
      <c r="S1094" s="22"/>
      <c r="T1094" s="331"/>
      <c r="U1094" s="22"/>
      <c r="V1094" s="22"/>
      <c r="W1094" s="22"/>
      <c r="X1094" s="22"/>
      <c r="Y1094" s="22"/>
      <c r="Z1094" s="22"/>
      <c r="AA1094" s="22"/>
      <c r="AB1094" s="22"/>
      <c r="AC1094" s="41"/>
      <c r="AD1094" s="22"/>
    </row>
    <row r="1095" spans="18:30" x14ac:dyDescent="0.25">
      <c r="R1095" s="22"/>
      <c r="S1095" s="22"/>
      <c r="T1095" s="331"/>
      <c r="U1095" s="22"/>
      <c r="V1095" s="22"/>
      <c r="W1095" s="22"/>
      <c r="X1095" s="22"/>
      <c r="Y1095" s="22"/>
      <c r="Z1095" s="22"/>
      <c r="AA1095" s="22"/>
      <c r="AB1095" s="22"/>
      <c r="AC1095" s="41"/>
      <c r="AD1095" s="22"/>
    </row>
    <row r="1096" spans="18:30" x14ac:dyDescent="0.25">
      <c r="R1096" s="22"/>
      <c r="S1096" s="22"/>
      <c r="T1096" s="331"/>
      <c r="U1096" s="22"/>
      <c r="V1096" s="22"/>
      <c r="W1096" s="22"/>
      <c r="X1096" s="22"/>
      <c r="Y1096" s="22"/>
      <c r="Z1096" s="22"/>
      <c r="AA1096" s="22"/>
      <c r="AB1096" s="22"/>
      <c r="AC1096" s="41"/>
      <c r="AD1096" s="22"/>
    </row>
    <row r="1097" spans="18:30" x14ac:dyDescent="0.25">
      <c r="R1097" s="22"/>
      <c r="S1097" s="22"/>
      <c r="T1097" s="331"/>
      <c r="U1097" s="22"/>
      <c r="V1097" s="22"/>
      <c r="W1097" s="22"/>
      <c r="X1097" s="22"/>
      <c r="Y1097" s="22"/>
      <c r="Z1097" s="22"/>
      <c r="AA1097" s="22"/>
      <c r="AB1097" s="22"/>
      <c r="AC1097" s="41"/>
      <c r="AD1097" s="22"/>
    </row>
    <row r="1098" spans="18:30" x14ac:dyDescent="0.25">
      <c r="R1098" s="22"/>
      <c r="S1098" s="22"/>
      <c r="T1098" s="331"/>
      <c r="U1098" s="22"/>
      <c r="V1098" s="22"/>
      <c r="W1098" s="22"/>
      <c r="X1098" s="22"/>
      <c r="Y1098" s="22"/>
      <c r="Z1098" s="22"/>
      <c r="AA1098" s="22"/>
      <c r="AB1098" s="22"/>
      <c r="AC1098" s="41"/>
      <c r="AD1098" s="22"/>
    </row>
    <row r="1099" spans="18:30" x14ac:dyDescent="0.25">
      <c r="R1099" s="22"/>
      <c r="S1099" s="22"/>
      <c r="T1099" s="331"/>
      <c r="U1099" s="22"/>
      <c r="V1099" s="22"/>
      <c r="W1099" s="22"/>
      <c r="X1099" s="22"/>
      <c r="Y1099" s="22"/>
      <c r="Z1099" s="22"/>
      <c r="AA1099" s="22"/>
      <c r="AB1099" s="22"/>
      <c r="AC1099" s="41"/>
      <c r="AD1099" s="22"/>
    </row>
    <row r="1100" spans="18:30" x14ac:dyDescent="0.25">
      <c r="R1100" s="22"/>
      <c r="S1100" s="22"/>
      <c r="T1100" s="331"/>
      <c r="U1100" s="22"/>
      <c r="V1100" s="22"/>
      <c r="W1100" s="22"/>
      <c r="X1100" s="22"/>
      <c r="Y1100" s="22"/>
      <c r="Z1100" s="22"/>
      <c r="AA1100" s="22"/>
      <c r="AB1100" s="22"/>
      <c r="AC1100" s="41"/>
      <c r="AD1100" s="22"/>
    </row>
    <row r="1101" spans="18:30" x14ac:dyDescent="0.25">
      <c r="R1101" s="22"/>
      <c r="S1101" s="22"/>
      <c r="T1101" s="331"/>
      <c r="U1101" s="22"/>
      <c r="V1101" s="22"/>
      <c r="W1101" s="22"/>
      <c r="X1101" s="22"/>
      <c r="Y1101" s="22"/>
      <c r="Z1101" s="22"/>
      <c r="AA1101" s="22"/>
      <c r="AB1101" s="22"/>
      <c r="AC1101" s="41"/>
      <c r="AD1101" s="22"/>
    </row>
    <row r="1102" spans="18:30" x14ac:dyDescent="0.25">
      <c r="R1102" s="22"/>
      <c r="S1102" s="22"/>
      <c r="T1102" s="331"/>
      <c r="U1102" s="22"/>
      <c r="V1102" s="22"/>
      <c r="W1102" s="22"/>
      <c r="X1102" s="22"/>
      <c r="Y1102" s="22"/>
      <c r="Z1102" s="22"/>
      <c r="AA1102" s="22"/>
      <c r="AB1102" s="22"/>
      <c r="AC1102" s="41"/>
      <c r="AD1102" s="22"/>
    </row>
    <row r="1103" spans="18:30" x14ac:dyDescent="0.25">
      <c r="R1103" s="22"/>
      <c r="S1103" s="22"/>
      <c r="T1103" s="331"/>
      <c r="U1103" s="22"/>
      <c r="V1103" s="22"/>
      <c r="W1103" s="22"/>
      <c r="X1103" s="22"/>
      <c r="Y1103" s="22"/>
      <c r="Z1103" s="22"/>
      <c r="AA1103" s="22"/>
      <c r="AB1103" s="22"/>
      <c r="AC1103" s="41"/>
      <c r="AD1103" s="22"/>
    </row>
    <row r="1104" spans="18:30" x14ac:dyDescent="0.25">
      <c r="R1104" s="22"/>
      <c r="S1104" s="22"/>
      <c r="T1104" s="331"/>
      <c r="U1104" s="22"/>
      <c r="V1104" s="22"/>
      <c r="W1104" s="22"/>
      <c r="X1104" s="22"/>
      <c r="Y1104" s="22"/>
      <c r="Z1104" s="22"/>
      <c r="AA1104" s="22"/>
      <c r="AB1104" s="22"/>
      <c r="AC1104" s="41"/>
      <c r="AD1104" s="22"/>
    </row>
    <row r="1105" spans="18:30" x14ac:dyDescent="0.25">
      <c r="R1105" s="22"/>
      <c r="S1105" s="22"/>
      <c r="T1105" s="331"/>
      <c r="U1105" s="22"/>
      <c r="V1105" s="22"/>
      <c r="W1105" s="22"/>
      <c r="X1105" s="22"/>
      <c r="Y1105" s="22"/>
      <c r="Z1105" s="22"/>
      <c r="AA1105" s="22"/>
      <c r="AB1105" s="22"/>
      <c r="AC1105" s="41"/>
      <c r="AD1105" s="22"/>
    </row>
    <row r="1106" spans="18:30" x14ac:dyDescent="0.25">
      <c r="R1106" s="22"/>
      <c r="S1106" s="22"/>
      <c r="T1106" s="331"/>
      <c r="U1106" s="22"/>
      <c r="V1106" s="22"/>
      <c r="W1106" s="22"/>
      <c r="X1106" s="22"/>
      <c r="Y1106" s="22"/>
      <c r="Z1106" s="22"/>
      <c r="AA1106" s="22"/>
      <c r="AB1106" s="22"/>
      <c r="AC1106" s="41"/>
      <c r="AD1106" s="22"/>
    </row>
    <row r="1107" spans="18:30" x14ac:dyDescent="0.25">
      <c r="R1107" s="22"/>
      <c r="S1107" s="22"/>
      <c r="T1107" s="331"/>
      <c r="U1107" s="22"/>
      <c r="V1107" s="22"/>
      <c r="W1107" s="22"/>
      <c r="X1107" s="22"/>
      <c r="Y1107" s="22"/>
      <c r="Z1107" s="22"/>
      <c r="AA1107" s="22"/>
      <c r="AB1107" s="22"/>
      <c r="AC1107" s="41"/>
      <c r="AD1107" s="22"/>
    </row>
    <row r="1108" spans="18:30" x14ac:dyDescent="0.25">
      <c r="R1108" s="22"/>
      <c r="S1108" s="22"/>
      <c r="T1108" s="331"/>
      <c r="U1108" s="22"/>
      <c r="V1108" s="22"/>
      <c r="W1108" s="22"/>
      <c r="X1108" s="22"/>
      <c r="Y1108" s="22"/>
      <c r="Z1108" s="22"/>
      <c r="AA1108" s="22"/>
      <c r="AB1108" s="22"/>
      <c r="AC1108" s="41"/>
      <c r="AD1108" s="22"/>
    </row>
    <row r="1109" spans="18:30" x14ac:dyDescent="0.25">
      <c r="R1109" s="22"/>
      <c r="S1109" s="22"/>
      <c r="T1109" s="331"/>
      <c r="U1109" s="22"/>
      <c r="V1109" s="22"/>
      <c r="W1109" s="22"/>
      <c r="X1109" s="22"/>
      <c r="Y1109" s="22"/>
      <c r="Z1109" s="22"/>
      <c r="AA1109" s="22"/>
      <c r="AB1109" s="22"/>
      <c r="AC1109" s="41"/>
      <c r="AD1109" s="22"/>
    </row>
    <row r="1110" spans="18:30" x14ac:dyDescent="0.25">
      <c r="R1110" s="22"/>
      <c r="S1110" s="22"/>
      <c r="T1110" s="331"/>
      <c r="U1110" s="22"/>
      <c r="V1110" s="22"/>
      <c r="W1110" s="22"/>
      <c r="X1110" s="22"/>
      <c r="Y1110" s="22"/>
      <c r="Z1110" s="22"/>
      <c r="AA1110" s="22"/>
      <c r="AB1110" s="22"/>
      <c r="AC1110" s="41"/>
      <c r="AD1110" s="22"/>
    </row>
    <row r="1111" spans="18:30" x14ac:dyDescent="0.25">
      <c r="R1111" s="22"/>
      <c r="S1111" s="22"/>
      <c r="T1111" s="331"/>
      <c r="U1111" s="22"/>
      <c r="V1111" s="22"/>
      <c r="W1111" s="22"/>
      <c r="X1111" s="22"/>
      <c r="Y1111" s="22"/>
      <c r="Z1111" s="22"/>
      <c r="AA1111" s="22"/>
      <c r="AB1111" s="22"/>
      <c r="AC1111" s="41"/>
      <c r="AD1111" s="22"/>
    </row>
    <row r="1112" spans="18:30" x14ac:dyDescent="0.25">
      <c r="R1112" s="22"/>
      <c r="S1112" s="22"/>
      <c r="T1112" s="331"/>
      <c r="U1112" s="22"/>
      <c r="V1112" s="22"/>
      <c r="W1112" s="22"/>
      <c r="X1112" s="22"/>
      <c r="Y1112" s="22"/>
      <c r="Z1112" s="22"/>
      <c r="AA1112" s="22"/>
      <c r="AB1112" s="22"/>
      <c r="AC1112" s="41"/>
      <c r="AD1112" s="22"/>
    </row>
    <row r="1113" spans="18:30" x14ac:dyDescent="0.25">
      <c r="R1113" s="22"/>
      <c r="S1113" s="22"/>
      <c r="T1113" s="331"/>
      <c r="U1113" s="22"/>
      <c r="V1113" s="22"/>
      <c r="W1113" s="22"/>
      <c r="X1113" s="22"/>
      <c r="Y1113" s="22"/>
      <c r="Z1113" s="22"/>
      <c r="AA1113" s="22"/>
      <c r="AB1113" s="22"/>
      <c r="AC1113" s="41"/>
      <c r="AD1113" s="22"/>
    </row>
    <row r="1114" spans="18:30" x14ac:dyDescent="0.25">
      <c r="R1114" s="22"/>
      <c r="S1114" s="22"/>
      <c r="T1114" s="331"/>
      <c r="U1114" s="22"/>
      <c r="V1114" s="22"/>
      <c r="W1114" s="22"/>
      <c r="X1114" s="22"/>
      <c r="Y1114" s="22"/>
      <c r="Z1114" s="22"/>
      <c r="AA1114" s="22"/>
      <c r="AB1114" s="22"/>
      <c r="AC1114" s="41"/>
      <c r="AD1114" s="22"/>
    </row>
    <row r="1115" spans="18:30" x14ac:dyDescent="0.25">
      <c r="R1115" s="22"/>
      <c r="S1115" s="22"/>
      <c r="T1115" s="331"/>
      <c r="U1115" s="22"/>
      <c r="V1115" s="22"/>
      <c r="W1115" s="22"/>
      <c r="X1115" s="22"/>
      <c r="Y1115" s="22"/>
      <c r="Z1115" s="22"/>
      <c r="AA1115" s="22"/>
      <c r="AB1115" s="22"/>
      <c r="AC1115" s="41"/>
      <c r="AD1115" s="22"/>
    </row>
    <row r="1116" spans="18:30" x14ac:dyDescent="0.25">
      <c r="R1116" s="22"/>
      <c r="S1116" s="22"/>
      <c r="T1116" s="331"/>
      <c r="U1116" s="22"/>
      <c r="V1116" s="22"/>
      <c r="W1116" s="22"/>
      <c r="X1116" s="22"/>
      <c r="Y1116" s="22"/>
      <c r="Z1116" s="22"/>
      <c r="AA1116" s="22"/>
      <c r="AB1116" s="22"/>
      <c r="AC1116" s="41"/>
      <c r="AD1116" s="22"/>
    </row>
    <row r="1117" spans="18:30" x14ac:dyDescent="0.25">
      <c r="R1117" s="22"/>
      <c r="S1117" s="22"/>
      <c r="T1117" s="331"/>
      <c r="U1117" s="22"/>
      <c r="V1117" s="22"/>
      <c r="W1117" s="22"/>
      <c r="X1117" s="22"/>
      <c r="Y1117" s="22"/>
      <c r="Z1117" s="22"/>
      <c r="AA1117" s="22"/>
      <c r="AB1117" s="22"/>
      <c r="AC1117" s="41"/>
      <c r="AD1117" s="22"/>
    </row>
    <row r="1118" spans="18:30" x14ac:dyDescent="0.25">
      <c r="R1118" s="22"/>
      <c r="S1118" s="22"/>
      <c r="T1118" s="331"/>
      <c r="U1118" s="22"/>
      <c r="V1118" s="22"/>
      <c r="W1118" s="22"/>
      <c r="X1118" s="22"/>
      <c r="Y1118" s="22"/>
      <c r="Z1118" s="22"/>
      <c r="AA1118" s="22"/>
      <c r="AB1118" s="22"/>
      <c r="AC1118" s="41"/>
      <c r="AD1118" s="22"/>
    </row>
    <row r="1119" spans="18:30" x14ac:dyDescent="0.25">
      <c r="R1119" s="22"/>
      <c r="S1119" s="22"/>
      <c r="T1119" s="331"/>
      <c r="U1119" s="22"/>
      <c r="V1119" s="22"/>
      <c r="W1119" s="22"/>
      <c r="X1119" s="22"/>
      <c r="Y1119" s="22"/>
      <c r="Z1119" s="22"/>
      <c r="AA1119" s="22"/>
      <c r="AB1119" s="22"/>
      <c r="AC1119" s="41"/>
      <c r="AD1119" s="22"/>
    </row>
    <row r="1120" spans="18:30" x14ac:dyDescent="0.25">
      <c r="R1120" s="22"/>
      <c r="S1120" s="22"/>
      <c r="T1120" s="331"/>
      <c r="U1120" s="22"/>
      <c r="V1120" s="22"/>
      <c r="W1120" s="22"/>
      <c r="X1120" s="22"/>
      <c r="Y1120" s="22"/>
      <c r="Z1120" s="22"/>
      <c r="AA1120" s="22"/>
      <c r="AB1120" s="22"/>
      <c r="AC1120" s="41"/>
      <c r="AD1120" s="22"/>
    </row>
    <row r="1121" spans="18:30" x14ac:dyDescent="0.25">
      <c r="R1121" s="22"/>
      <c r="S1121" s="22"/>
      <c r="T1121" s="331"/>
      <c r="U1121" s="22"/>
      <c r="V1121" s="22"/>
      <c r="W1121" s="22"/>
      <c r="X1121" s="22"/>
      <c r="Y1121" s="22"/>
      <c r="Z1121" s="22"/>
      <c r="AA1121" s="22"/>
      <c r="AB1121" s="22"/>
      <c r="AC1121" s="41"/>
      <c r="AD1121" s="22"/>
    </row>
    <row r="1122" spans="18:30" x14ac:dyDescent="0.25">
      <c r="R1122" s="22"/>
      <c r="S1122" s="22"/>
      <c r="T1122" s="331"/>
      <c r="U1122" s="22"/>
      <c r="V1122" s="22"/>
      <c r="W1122" s="22"/>
      <c r="X1122" s="22"/>
      <c r="Y1122" s="22"/>
      <c r="Z1122" s="22"/>
      <c r="AA1122" s="22"/>
      <c r="AB1122" s="22"/>
      <c r="AC1122" s="41"/>
      <c r="AD1122" s="22"/>
    </row>
    <row r="1123" spans="18:30" x14ac:dyDescent="0.25">
      <c r="R1123" s="22"/>
      <c r="S1123" s="22"/>
      <c r="T1123" s="331"/>
      <c r="U1123" s="22"/>
      <c r="V1123" s="22"/>
      <c r="W1123" s="22"/>
      <c r="X1123" s="22"/>
      <c r="Y1123" s="22"/>
      <c r="Z1123" s="22"/>
      <c r="AA1123" s="22"/>
      <c r="AB1123" s="22"/>
      <c r="AC1123" s="41"/>
      <c r="AD1123" s="22"/>
    </row>
    <row r="1124" spans="18:30" x14ac:dyDescent="0.25">
      <c r="R1124" s="22"/>
      <c r="S1124" s="22"/>
      <c r="T1124" s="331"/>
      <c r="U1124" s="22"/>
      <c r="V1124" s="22"/>
      <c r="W1124" s="22"/>
      <c r="X1124" s="22"/>
      <c r="Y1124" s="22"/>
      <c r="Z1124" s="22"/>
      <c r="AA1124" s="22"/>
      <c r="AB1124" s="22"/>
      <c r="AC1124" s="41"/>
      <c r="AD1124" s="22"/>
    </row>
    <row r="1125" spans="18:30" x14ac:dyDescent="0.25">
      <c r="R1125" s="22"/>
      <c r="S1125" s="22"/>
      <c r="T1125" s="331"/>
      <c r="U1125" s="22"/>
      <c r="V1125" s="22"/>
      <c r="W1125" s="22"/>
      <c r="X1125" s="22"/>
      <c r="Y1125" s="22"/>
      <c r="Z1125" s="22"/>
      <c r="AA1125" s="22"/>
      <c r="AB1125" s="22"/>
      <c r="AC1125" s="41"/>
      <c r="AD1125" s="22"/>
    </row>
    <row r="1126" spans="18:30" x14ac:dyDescent="0.25">
      <c r="R1126" s="22"/>
      <c r="S1126" s="22"/>
      <c r="T1126" s="331"/>
      <c r="U1126" s="22"/>
      <c r="V1126" s="22"/>
      <c r="W1126" s="22"/>
      <c r="X1126" s="22"/>
      <c r="Y1126" s="22"/>
      <c r="Z1126" s="22"/>
      <c r="AA1126" s="22"/>
      <c r="AB1126" s="22"/>
      <c r="AC1126" s="41"/>
      <c r="AD1126" s="22"/>
    </row>
    <row r="1127" spans="18:30" x14ac:dyDescent="0.25">
      <c r="R1127" s="22"/>
      <c r="S1127" s="22"/>
      <c r="T1127" s="331"/>
      <c r="U1127" s="22"/>
      <c r="V1127" s="22"/>
      <c r="W1127" s="22"/>
      <c r="X1127" s="22"/>
      <c r="Y1127" s="22"/>
      <c r="Z1127" s="22"/>
      <c r="AA1127" s="22"/>
      <c r="AB1127" s="22"/>
      <c r="AC1127" s="41"/>
      <c r="AD1127" s="22"/>
    </row>
    <row r="1128" spans="18:30" x14ac:dyDescent="0.25">
      <c r="R1128" s="22"/>
      <c r="S1128" s="22"/>
      <c r="T1128" s="331"/>
      <c r="U1128" s="22"/>
      <c r="V1128" s="22"/>
      <c r="W1128" s="22"/>
      <c r="X1128" s="22"/>
      <c r="Y1128" s="22"/>
      <c r="Z1128" s="22"/>
      <c r="AA1128" s="22"/>
      <c r="AB1128" s="22"/>
      <c r="AC1128" s="41"/>
      <c r="AD1128" s="22"/>
    </row>
    <row r="1129" spans="18:30" x14ac:dyDescent="0.25">
      <c r="R1129" s="22"/>
      <c r="S1129" s="22"/>
      <c r="T1129" s="331"/>
      <c r="U1129" s="22"/>
      <c r="V1129" s="22"/>
      <c r="W1129" s="22"/>
      <c r="X1129" s="22"/>
      <c r="Y1129" s="22"/>
      <c r="Z1129" s="22"/>
      <c r="AA1129" s="22"/>
      <c r="AB1129" s="22"/>
      <c r="AC1129" s="41"/>
      <c r="AD1129" s="22"/>
    </row>
    <row r="1130" spans="18:30" x14ac:dyDescent="0.25">
      <c r="R1130" s="22"/>
      <c r="S1130" s="22"/>
      <c r="T1130" s="331"/>
      <c r="U1130" s="22"/>
      <c r="V1130" s="22"/>
      <c r="W1130" s="22"/>
      <c r="X1130" s="22"/>
      <c r="Y1130" s="22"/>
      <c r="Z1130" s="22"/>
      <c r="AA1130" s="22"/>
      <c r="AB1130" s="22"/>
      <c r="AC1130" s="41"/>
      <c r="AD1130" s="22"/>
    </row>
    <row r="1131" spans="18:30" x14ac:dyDescent="0.25">
      <c r="R1131" s="22"/>
      <c r="S1131" s="22"/>
      <c r="T1131" s="331"/>
      <c r="U1131" s="22"/>
      <c r="V1131" s="22"/>
      <c r="W1131" s="22"/>
      <c r="X1131" s="22"/>
      <c r="Y1131" s="22"/>
      <c r="Z1131" s="22"/>
      <c r="AA1131" s="22"/>
      <c r="AB1131" s="22"/>
      <c r="AC1131" s="41"/>
      <c r="AD1131" s="22"/>
    </row>
    <row r="1132" spans="18:30" x14ac:dyDescent="0.25">
      <c r="R1132" s="22"/>
      <c r="S1132" s="22"/>
      <c r="T1132" s="331"/>
      <c r="U1132" s="22"/>
      <c r="V1132" s="22"/>
      <c r="W1132" s="22"/>
      <c r="X1132" s="22"/>
      <c r="Y1132" s="22"/>
      <c r="Z1132" s="22"/>
      <c r="AA1132" s="22"/>
      <c r="AB1132" s="22"/>
      <c r="AC1132" s="41"/>
      <c r="AD1132" s="22"/>
    </row>
    <row r="1133" spans="18:30" x14ac:dyDescent="0.25">
      <c r="R1133" s="22"/>
      <c r="S1133" s="22"/>
      <c r="T1133" s="331"/>
      <c r="U1133" s="22"/>
      <c r="V1133" s="22"/>
      <c r="W1133" s="22"/>
      <c r="X1133" s="22"/>
      <c r="Y1133" s="22"/>
      <c r="Z1133" s="22"/>
      <c r="AA1133" s="22"/>
      <c r="AB1133" s="22"/>
      <c r="AC1133" s="41"/>
      <c r="AD1133" s="22"/>
    </row>
    <row r="1134" spans="18:30" x14ac:dyDescent="0.25">
      <c r="R1134" s="22"/>
      <c r="S1134" s="22"/>
      <c r="T1134" s="331"/>
      <c r="U1134" s="22"/>
      <c r="V1134" s="22"/>
      <c r="W1134" s="22"/>
      <c r="X1134" s="22"/>
      <c r="Y1134" s="22"/>
      <c r="Z1134" s="22"/>
      <c r="AA1134" s="22"/>
      <c r="AB1134" s="22"/>
      <c r="AC1134" s="41"/>
      <c r="AD1134" s="22"/>
    </row>
    <row r="1135" spans="18:30" x14ac:dyDescent="0.25">
      <c r="R1135" s="22"/>
      <c r="S1135" s="22"/>
      <c r="T1135" s="331"/>
      <c r="U1135" s="22"/>
      <c r="V1135" s="22"/>
      <c r="W1135" s="22"/>
      <c r="X1135" s="22"/>
      <c r="Y1135" s="22"/>
      <c r="Z1135" s="22"/>
      <c r="AA1135" s="22"/>
      <c r="AB1135" s="22"/>
      <c r="AC1135" s="41"/>
      <c r="AD1135" s="22"/>
    </row>
    <row r="1136" spans="18:30" x14ac:dyDescent="0.25">
      <c r="R1136" s="22"/>
      <c r="S1136" s="22"/>
      <c r="T1136" s="331"/>
      <c r="U1136" s="22"/>
      <c r="V1136" s="22"/>
      <c r="W1136" s="22"/>
      <c r="X1136" s="22"/>
      <c r="Y1136" s="22"/>
      <c r="Z1136" s="22"/>
      <c r="AA1136" s="22"/>
      <c r="AB1136" s="22"/>
      <c r="AC1136" s="41"/>
      <c r="AD1136" s="22"/>
    </row>
    <row r="1137" spans="18:30" x14ac:dyDescent="0.25">
      <c r="R1137" s="22"/>
      <c r="S1137" s="22"/>
      <c r="T1137" s="331"/>
      <c r="U1137" s="22"/>
      <c r="V1137" s="22"/>
      <c r="W1137" s="22"/>
      <c r="X1137" s="22"/>
      <c r="Y1137" s="22"/>
      <c r="Z1137" s="22"/>
      <c r="AA1137" s="22"/>
      <c r="AB1137" s="22"/>
      <c r="AC1137" s="41"/>
      <c r="AD1137" s="22"/>
    </row>
    <row r="1138" spans="18:30" x14ac:dyDescent="0.25">
      <c r="R1138" s="22"/>
      <c r="S1138" s="22"/>
      <c r="T1138" s="331"/>
      <c r="U1138" s="22"/>
      <c r="V1138" s="22"/>
      <c r="W1138" s="22"/>
      <c r="X1138" s="22"/>
      <c r="Y1138" s="22"/>
      <c r="Z1138" s="22"/>
      <c r="AA1138" s="22"/>
      <c r="AB1138" s="22"/>
      <c r="AC1138" s="41"/>
      <c r="AD1138" s="22"/>
    </row>
    <row r="1139" spans="18:30" x14ac:dyDescent="0.25">
      <c r="R1139" s="22"/>
      <c r="S1139" s="22"/>
      <c r="T1139" s="331"/>
      <c r="U1139" s="22"/>
      <c r="V1139" s="22"/>
      <c r="W1139" s="22"/>
      <c r="X1139" s="22"/>
      <c r="Y1139" s="22"/>
      <c r="Z1139" s="22"/>
      <c r="AA1139" s="22"/>
      <c r="AB1139" s="22"/>
      <c r="AC1139" s="41"/>
      <c r="AD1139" s="22"/>
    </row>
    <row r="1140" spans="18:30" x14ac:dyDescent="0.25">
      <c r="R1140" s="22"/>
      <c r="S1140" s="22"/>
      <c r="T1140" s="331"/>
      <c r="U1140" s="22"/>
      <c r="V1140" s="22"/>
      <c r="W1140" s="22"/>
      <c r="X1140" s="22"/>
      <c r="Y1140" s="22"/>
      <c r="Z1140" s="22"/>
      <c r="AA1140" s="22"/>
      <c r="AB1140" s="22"/>
      <c r="AC1140" s="41"/>
      <c r="AD1140" s="22"/>
    </row>
    <row r="1141" spans="18:30" x14ac:dyDescent="0.25">
      <c r="R1141" s="22"/>
      <c r="S1141" s="22"/>
      <c r="T1141" s="331"/>
      <c r="U1141" s="22"/>
      <c r="V1141" s="22"/>
      <c r="W1141" s="22"/>
      <c r="X1141" s="22"/>
      <c r="Y1141" s="22"/>
      <c r="Z1141" s="22"/>
      <c r="AA1141" s="22"/>
      <c r="AB1141" s="22"/>
      <c r="AC1141" s="41"/>
      <c r="AD1141" s="22"/>
    </row>
    <row r="1142" spans="18:30" x14ac:dyDescent="0.25">
      <c r="R1142" s="22"/>
      <c r="S1142" s="22"/>
      <c r="T1142" s="331"/>
      <c r="U1142" s="22"/>
      <c r="V1142" s="22"/>
      <c r="W1142" s="22"/>
      <c r="X1142" s="22"/>
      <c r="Y1142" s="22"/>
      <c r="Z1142" s="22"/>
      <c r="AA1142" s="22"/>
      <c r="AB1142" s="22"/>
      <c r="AC1142" s="41"/>
      <c r="AD1142" s="22"/>
    </row>
    <row r="1143" spans="18:30" x14ac:dyDescent="0.25">
      <c r="R1143" s="22"/>
      <c r="S1143" s="22"/>
      <c r="T1143" s="331"/>
      <c r="U1143" s="22"/>
      <c r="V1143" s="22"/>
      <c r="W1143" s="22"/>
      <c r="X1143" s="22"/>
      <c r="Y1143" s="22"/>
      <c r="Z1143" s="22"/>
      <c r="AA1143" s="22"/>
      <c r="AB1143" s="22"/>
      <c r="AC1143" s="41"/>
      <c r="AD1143" s="22"/>
    </row>
    <row r="1144" spans="18:30" x14ac:dyDescent="0.25">
      <c r="R1144" s="22"/>
      <c r="S1144" s="22"/>
      <c r="T1144" s="331"/>
      <c r="U1144" s="22"/>
      <c r="V1144" s="22"/>
      <c r="W1144" s="22"/>
      <c r="X1144" s="22"/>
      <c r="Y1144" s="22"/>
      <c r="Z1144" s="22"/>
      <c r="AA1144" s="22"/>
      <c r="AB1144" s="22"/>
      <c r="AC1144" s="41"/>
      <c r="AD1144" s="22"/>
    </row>
    <row r="1145" spans="18:30" x14ac:dyDescent="0.25">
      <c r="R1145" s="22"/>
      <c r="S1145" s="22"/>
      <c r="T1145" s="331"/>
      <c r="U1145" s="22"/>
      <c r="V1145" s="22"/>
      <c r="W1145" s="22"/>
      <c r="X1145" s="22"/>
      <c r="Y1145" s="22"/>
      <c r="Z1145" s="22"/>
      <c r="AA1145" s="22"/>
      <c r="AB1145" s="22"/>
      <c r="AC1145" s="41"/>
      <c r="AD1145" s="22"/>
    </row>
    <row r="1146" spans="18:30" x14ac:dyDescent="0.25">
      <c r="R1146" s="22"/>
      <c r="S1146" s="22"/>
      <c r="T1146" s="331"/>
      <c r="U1146" s="22"/>
      <c r="V1146" s="22"/>
      <c r="W1146" s="22"/>
      <c r="X1146" s="22"/>
      <c r="Y1146" s="22"/>
      <c r="Z1146" s="22"/>
      <c r="AA1146" s="22"/>
      <c r="AB1146" s="22"/>
      <c r="AC1146" s="41"/>
      <c r="AD1146" s="22"/>
    </row>
    <row r="1147" spans="18:30" x14ac:dyDescent="0.25">
      <c r="R1147" s="22"/>
      <c r="S1147" s="22"/>
      <c r="T1147" s="331"/>
      <c r="U1147" s="22"/>
      <c r="V1147" s="22"/>
      <c r="W1147" s="22"/>
      <c r="X1147" s="22"/>
      <c r="Y1147" s="22"/>
      <c r="Z1147" s="22"/>
      <c r="AA1147" s="22"/>
      <c r="AB1147" s="22"/>
      <c r="AC1147" s="41"/>
      <c r="AD1147" s="22"/>
    </row>
    <row r="1148" spans="18:30" x14ac:dyDescent="0.25">
      <c r="R1148" s="22"/>
      <c r="S1148" s="22"/>
      <c r="T1148" s="331"/>
      <c r="U1148" s="22"/>
      <c r="V1148" s="22"/>
      <c r="W1148" s="22"/>
      <c r="X1148" s="22"/>
      <c r="Y1148" s="22"/>
      <c r="Z1148" s="22"/>
      <c r="AA1148" s="22"/>
      <c r="AB1148" s="22"/>
      <c r="AC1148" s="41"/>
      <c r="AD1148" s="22"/>
    </row>
    <row r="1149" spans="18:30" x14ac:dyDescent="0.25">
      <c r="R1149" s="22"/>
      <c r="S1149" s="22"/>
      <c r="T1149" s="331"/>
      <c r="U1149" s="22"/>
      <c r="V1149" s="22"/>
      <c r="W1149" s="22"/>
      <c r="X1149" s="22"/>
      <c r="Y1149" s="22"/>
      <c r="Z1149" s="22"/>
      <c r="AA1149" s="22"/>
      <c r="AB1149" s="22"/>
      <c r="AC1149" s="41"/>
      <c r="AD1149" s="22"/>
    </row>
    <row r="1150" spans="18:30" x14ac:dyDescent="0.25">
      <c r="R1150" s="22"/>
      <c r="S1150" s="22"/>
      <c r="T1150" s="331"/>
      <c r="U1150" s="22"/>
      <c r="V1150" s="22"/>
      <c r="W1150" s="22"/>
      <c r="X1150" s="22"/>
      <c r="Y1150" s="22"/>
      <c r="Z1150" s="22"/>
      <c r="AA1150" s="22"/>
      <c r="AB1150" s="22"/>
      <c r="AC1150" s="41"/>
      <c r="AD1150" s="22"/>
    </row>
    <row r="1151" spans="18:30" x14ac:dyDescent="0.25">
      <c r="R1151" s="22"/>
      <c r="S1151" s="22"/>
      <c r="T1151" s="331"/>
      <c r="U1151" s="22"/>
      <c r="V1151" s="22"/>
      <c r="W1151" s="22"/>
      <c r="X1151" s="22"/>
      <c r="Y1151" s="22"/>
      <c r="Z1151" s="22"/>
      <c r="AA1151" s="22"/>
      <c r="AB1151" s="22"/>
      <c r="AC1151" s="41"/>
      <c r="AD1151" s="22"/>
    </row>
    <row r="1152" spans="18:30" x14ac:dyDescent="0.25">
      <c r="R1152" s="22"/>
      <c r="S1152" s="22"/>
      <c r="T1152" s="331"/>
      <c r="U1152" s="22"/>
      <c r="V1152" s="22"/>
      <c r="W1152" s="22"/>
      <c r="X1152" s="22"/>
      <c r="Y1152" s="22"/>
      <c r="Z1152" s="22"/>
      <c r="AA1152" s="22"/>
      <c r="AB1152" s="22"/>
      <c r="AC1152" s="41"/>
      <c r="AD1152" s="22"/>
    </row>
    <row r="1153" spans="18:30" x14ac:dyDescent="0.25">
      <c r="R1153" s="22"/>
      <c r="S1153" s="22"/>
      <c r="T1153" s="331"/>
      <c r="U1153" s="22"/>
      <c r="V1153" s="22"/>
      <c r="W1153" s="22"/>
      <c r="X1153" s="22"/>
      <c r="Y1153" s="22"/>
      <c r="Z1153" s="22"/>
      <c r="AA1153" s="22"/>
      <c r="AB1153" s="22"/>
      <c r="AC1153" s="41"/>
      <c r="AD1153" s="22"/>
    </row>
    <row r="1154" spans="18:30" x14ac:dyDescent="0.25">
      <c r="R1154" s="22"/>
      <c r="S1154" s="22"/>
      <c r="T1154" s="331"/>
      <c r="U1154" s="22"/>
      <c r="V1154" s="22"/>
      <c r="W1154" s="22"/>
      <c r="X1154" s="22"/>
      <c r="Y1154" s="22"/>
      <c r="Z1154" s="22"/>
      <c r="AA1154" s="22"/>
      <c r="AB1154" s="22"/>
      <c r="AC1154" s="41"/>
      <c r="AD1154" s="22"/>
    </row>
    <row r="1155" spans="18:30" x14ac:dyDescent="0.25">
      <c r="R1155" s="22"/>
      <c r="S1155" s="22"/>
      <c r="T1155" s="331"/>
      <c r="U1155" s="22"/>
      <c r="V1155" s="22"/>
      <c r="W1155" s="22"/>
      <c r="X1155" s="22"/>
      <c r="Y1155" s="22"/>
      <c r="Z1155" s="22"/>
      <c r="AA1155" s="22"/>
      <c r="AB1155" s="22"/>
      <c r="AC1155" s="41"/>
      <c r="AD1155" s="22"/>
    </row>
    <row r="1156" spans="18:30" x14ac:dyDescent="0.25">
      <c r="R1156" s="22"/>
      <c r="S1156" s="22"/>
      <c r="T1156" s="331"/>
      <c r="U1156" s="22"/>
      <c r="V1156" s="22"/>
      <c r="W1156" s="22"/>
      <c r="X1156" s="22"/>
      <c r="Y1156" s="22"/>
      <c r="Z1156" s="22"/>
      <c r="AA1156" s="22"/>
      <c r="AB1156" s="22"/>
      <c r="AC1156" s="41"/>
      <c r="AD1156" s="22"/>
    </row>
    <row r="1157" spans="18:30" x14ac:dyDescent="0.25">
      <c r="R1157" s="22"/>
      <c r="S1157" s="22"/>
      <c r="T1157" s="331"/>
      <c r="U1157" s="22"/>
      <c r="V1157" s="22"/>
      <c r="W1157" s="22"/>
      <c r="X1157" s="22"/>
      <c r="Y1157" s="22"/>
      <c r="Z1157" s="22"/>
      <c r="AA1157" s="22"/>
      <c r="AB1157" s="22"/>
      <c r="AC1157" s="41"/>
      <c r="AD1157" s="22"/>
    </row>
    <row r="1158" spans="18:30" x14ac:dyDescent="0.25">
      <c r="R1158" s="22"/>
      <c r="S1158" s="22"/>
      <c r="T1158" s="331"/>
      <c r="U1158" s="22"/>
      <c r="V1158" s="22"/>
      <c r="W1158" s="22"/>
      <c r="X1158" s="22"/>
      <c r="Y1158" s="22"/>
      <c r="Z1158" s="22"/>
      <c r="AA1158" s="22"/>
      <c r="AB1158" s="22"/>
      <c r="AC1158" s="41"/>
      <c r="AD1158" s="22"/>
    </row>
    <row r="1159" spans="18:30" x14ac:dyDescent="0.25">
      <c r="R1159" s="22"/>
      <c r="S1159" s="22"/>
      <c r="T1159" s="331"/>
      <c r="U1159" s="22"/>
      <c r="V1159" s="22"/>
      <c r="W1159" s="22"/>
      <c r="X1159" s="22"/>
      <c r="Y1159" s="22"/>
      <c r="Z1159" s="22"/>
      <c r="AA1159" s="22"/>
      <c r="AB1159" s="22"/>
      <c r="AC1159" s="41"/>
      <c r="AD1159" s="22"/>
    </row>
    <row r="1160" spans="18:30" x14ac:dyDescent="0.25">
      <c r="R1160" s="22"/>
      <c r="S1160" s="22"/>
      <c r="T1160" s="331"/>
      <c r="U1160" s="22"/>
      <c r="V1160" s="22"/>
      <c r="W1160" s="22"/>
      <c r="X1160" s="22"/>
      <c r="Y1160" s="22"/>
      <c r="Z1160" s="22"/>
      <c r="AA1160" s="22"/>
      <c r="AB1160" s="22"/>
      <c r="AC1160" s="41"/>
      <c r="AD1160" s="22"/>
    </row>
    <row r="1161" spans="18:30" x14ac:dyDescent="0.25">
      <c r="R1161" s="22"/>
      <c r="S1161" s="22"/>
      <c r="T1161" s="331"/>
      <c r="U1161" s="22"/>
      <c r="V1161" s="22"/>
      <c r="W1161" s="22"/>
      <c r="X1161" s="22"/>
      <c r="Y1161" s="22"/>
      <c r="Z1161" s="22"/>
      <c r="AA1161" s="22"/>
      <c r="AB1161" s="22"/>
      <c r="AC1161" s="41"/>
      <c r="AD1161" s="22"/>
    </row>
    <row r="1162" spans="18:30" x14ac:dyDescent="0.25">
      <c r="R1162" s="22"/>
      <c r="S1162" s="22"/>
      <c r="T1162" s="331"/>
      <c r="U1162" s="22"/>
      <c r="V1162" s="22"/>
      <c r="W1162" s="22"/>
      <c r="X1162" s="22"/>
      <c r="Y1162" s="22"/>
      <c r="Z1162" s="22"/>
      <c r="AA1162" s="22"/>
      <c r="AB1162" s="22"/>
      <c r="AC1162" s="41"/>
      <c r="AD1162" s="22"/>
    </row>
    <row r="1163" spans="18:30" x14ac:dyDescent="0.25">
      <c r="R1163" s="22"/>
      <c r="S1163" s="22"/>
      <c r="T1163" s="331"/>
      <c r="U1163" s="22"/>
      <c r="V1163" s="22"/>
      <c r="W1163" s="22"/>
      <c r="X1163" s="22"/>
      <c r="Y1163" s="22"/>
      <c r="Z1163" s="22"/>
      <c r="AA1163" s="22"/>
      <c r="AB1163" s="22"/>
      <c r="AC1163" s="41"/>
      <c r="AD1163" s="22"/>
    </row>
    <row r="1164" spans="18:30" x14ac:dyDescent="0.25">
      <c r="R1164" s="22"/>
      <c r="S1164" s="22"/>
      <c r="T1164" s="331"/>
      <c r="U1164" s="22"/>
      <c r="V1164" s="22"/>
      <c r="W1164" s="22"/>
      <c r="X1164" s="22"/>
      <c r="Y1164" s="22"/>
      <c r="Z1164" s="22"/>
      <c r="AA1164" s="22"/>
      <c r="AB1164" s="22"/>
      <c r="AC1164" s="41"/>
      <c r="AD1164" s="22"/>
    </row>
    <row r="1165" spans="18:30" x14ac:dyDescent="0.25">
      <c r="R1165" s="22"/>
      <c r="S1165" s="22"/>
      <c r="T1165" s="331"/>
      <c r="U1165" s="22"/>
      <c r="V1165" s="22"/>
      <c r="W1165" s="22"/>
      <c r="X1165" s="22"/>
      <c r="Y1165" s="22"/>
      <c r="Z1165" s="22"/>
      <c r="AA1165" s="22"/>
      <c r="AB1165" s="22"/>
      <c r="AC1165" s="41"/>
      <c r="AD1165" s="22"/>
    </row>
    <row r="1166" spans="18:30" x14ac:dyDescent="0.25">
      <c r="R1166" s="22"/>
      <c r="S1166" s="22"/>
      <c r="T1166" s="331"/>
      <c r="U1166" s="22"/>
      <c r="V1166" s="22"/>
      <c r="W1166" s="22"/>
      <c r="X1166" s="22"/>
      <c r="Y1166" s="22"/>
      <c r="Z1166" s="22"/>
      <c r="AA1166" s="22"/>
      <c r="AB1166" s="22"/>
      <c r="AC1166" s="41"/>
      <c r="AD1166" s="22"/>
    </row>
    <row r="1167" spans="18:30" x14ac:dyDescent="0.25">
      <c r="R1167" s="22"/>
      <c r="S1167" s="22"/>
      <c r="T1167" s="331"/>
      <c r="U1167" s="22"/>
      <c r="V1167" s="22"/>
      <c r="W1167" s="22"/>
      <c r="X1167" s="22"/>
      <c r="Y1167" s="22"/>
      <c r="Z1167" s="22"/>
      <c r="AA1167" s="22"/>
      <c r="AB1167" s="22"/>
      <c r="AC1167" s="41"/>
      <c r="AD1167" s="22"/>
    </row>
    <row r="1168" spans="18:30" x14ac:dyDescent="0.25">
      <c r="R1168" s="22"/>
      <c r="S1168" s="22"/>
      <c r="T1168" s="331"/>
      <c r="U1168" s="22"/>
      <c r="V1168" s="22"/>
      <c r="W1168" s="22"/>
      <c r="X1168" s="22"/>
      <c r="Y1168" s="22"/>
      <c r="Z1168" s="22"/>
      <c r="AA1168" s="22"/>
      <c r="AB1168" s="22"/>
      <c r="AC1168" s="41"/>
      <c r="AD1168" s="22"/>
    </row>
    <row r="1169" spans="18:30" x14ac:dyDescent="0.25">
      <c r="R1169" s="22"/>
      <c r="S1169" s="22"/>
      <c r="T1169" s="331"/>
      <c r="U1169" s="22"/>
      <c r="V1169" s="22"/>
      <c r="W1169" s="22"/>
      <c r="X1169" s="22"/>
      <c r="Y1169" s="22"/>
      <c r="Z1169" s="22"/>
      <c r="AA1169" s="22"/>
      <c r="AB1169" s="22"/>
      <c r="AC1169" s="41"/>
      <c r="AD1169" s="22"/>
    </row>
    <row r="1170" spans="18:30" x14ac:dyDescent="0.25">
      <c r="R1170" s="22"/>
      <c r="S1170" s="22"/>
      <c r="T1170" s="331"/>
      <c r="U1170" s="22"/>
      <c r="V1170" s="22"/>
      <c r="W1170" s="22"/>
      <c r="X1170" s="22"/>
      <c r="Y1170" s="22"/>
      <c r="Z1170" s="22"/>
      <c r="AA1170" s="22"/>
      <c r="AB1170" s="22"/>
      <c r="AC1170" s="41"/>
      <c r="AD1170" s="22"/>
    </row>
    <row r="1171" spans="18:30" x14ac:dyDescent="0.25">
      <c r="R1171" s="22"/>
      <c r="S1171" s="22"/>
      <c r="T1171" s="331"/>
      <c r="U1171" s="22"/>
      <c r="V1171" s="22"/>
      <c r="W1171" s="22"/>
      <c r="X1171" s="22"/>
      <c r="Y1171" s="22"/>
      <c r="Z1171" s="22"/>
      <c r="AA1171" s="22"/>
      <c r="AB1171" s="22"/>
      <c r="AC1171" s="41"/>
      <c r="AD1171" s="22"/>
    </row>
    <row r="1172" spans="18:30" x14ac:dyDescent="0.25">
      <c r="R1172" s="22"/>
      <c r="S1172" s="22"/>
      <c r="T1172" s="331"/>
      <c r="U1172" s="22"/>
      <c r="V1172" s="22"/>
      <c r="W1172" s="22"/>
      <c r="X1172" s="22"/>
      <c r="Y1172" s="22"/>
      <c r="Z1172" s="22"/>
      <c r="AA1172" s="22"/>
      <c r="AB1172" s="22"/>
      <c r="AC1172" s="41"/>
      <c r="AD1172" s="22"/>
    </row>
    <row r="1173" spans="18:30" x14ac:dyDescent="0.25">
      <c r="R1173" s="22"/>
      <c r="S1173" s="22"/>
      <c r="T1173" s="331"/>
      <c r="U1173" s="22"/>
      <c r="V1173" s="22"/>
      <c r="W1173" s="22"/>
      <c r="X1173" s="22"/>
      <c r="Y1173" s="22"/>
      <c r="Z1173" s="22"/>
      <c r="AA1173" s="22"/>
      <c r="AB1173" s="22"/>
      <c r="AC1173" s="41"/>
      <c r="AD1173" s="22"/>
    </row>
    <row r="1174" spans="18:30" x14ac:dyDescent="0.25">
      <c r="R1174" s="22"/>
      <c r="S1174" s="22"/>
      <c r="T1174" s="331"/>
      <c r="U1174" s="22"/>
      <c r="V1174" s="22"/>
      <c r="W1174" s="22"/>
      <c r="X1174" s="22"/>
      <c r="Y1174" s="22"/>
      <c r="Z1174" s="22"/>
      <c r="AA1174" s="22"/>
      <c r="AB1174" s="22"/>
      <c r="AC1174" s="41"/>
      <c r="AD1174" s="22"/>
    </row>
    <row r="1175" spans="18:30" x14ac:dyDescent="0.25">
      <c r="R1175" s="22"/>
      <c r="S1175" s="22"/>
      <c r="T1175" s="331"/>
      <c r="U1175" s="22"/>
      <c r="V1175" s="22"/>
      <c r="W1175" s="22"/>
      <c r="X1175" s="22"/>
      <c r="Y1175" s="22"/>
      <c r="Z1175" s="22"/>
      <c r="AA1175" s="22"/>
      <c r="AB1175" s="22"/>
      <c r="AC1175" s="41"/>
      <c r="AD1175" s="22"/>
    </row>
    <row r="1176" spans="18:30" x14ac:dyDescent="0.25">
      <c r="R1176" s="22"/>
      <c r="S1176" s="22"/>
      <c r="T1176" s="331"/>
      <c r="U1176" s="22"/>
      <c r="V1176" s="22"/>
      <c r="W1176" s="22"/>
      <c r="X1176" s="22"/>
      <c r="Y1176" s="22"/>
      <c r="Z1176" s="22"/>
      <c r="AA1176" s="22"/>
      <c r="AB1176" s="22"/>
      <c r="AC1176" s="41"/>
      <c r="AD1176" s="22"/>
    </row>
    <row r="1177" spans="18:30" x14ac:dyDescent="0.25">
      <c r="R1177" s="22"/>
      <c r="S1177" s="22"/>
      <c r="T1177" s="331"/>
      <c r="U1177" s="22"/>
      <c r="V1177" s="22"/>
      <c r="W1177" s="22"/>
      <c r="X1177" s="22"/>
      <c r="Y1177" s="22"/>
      <c r="Z1177" s="22"/>
      <c r="AA1177" s="22"/>
      <c r="AB1177" s="22"/>
      <c r="AC1177" s="41"/>
      <c r="AD1177" s="22"/>
    </row>
    <row r="1178" spans="18:30" x14ac:dyDescent="0.25">
      <c r="R1178" s="22"/>
      <c r="S1178" s="22"/>
      <c r="T1178" s="331"/>
      <c r="U1178" s="22"/>
      <c r="V1178" s="22"/>
      <c r="W1178" s="22"/>
      <c r="X1178" s="22"/>
      <c r="Y1178" s="22"/>
      <c r="Z1178" s="22"/>
      <c r="AA1178" s="22"/>
      <c r="AB1178" s="22"/>
      <c r="AC1178" s="41"/>
      <c r="AD1178" s="22"/>
    </row>
    <row r="1179" spans="18:30" x14ac:dyDescent="0.25">
      <c r="R1179" s="22"/>
      <c r="S1179" s="22"/>
      <c r="T1179" s="331"/>
      <c r="U1179" s="22"/>
      <c r="V1179" s="22"/>
      <c r="W1179" s="22"/>
      <c r="X1179" s="22"/>
      <c r="Y1179" s="22"/>
      <c r="Z1179" s="22"/>
      <c r="AA1179" s="22"/>
      <c r="AB1179" s="22"/>
      <c r="AC1179" s="41"/>
      <c r="AD1179" s="22"/>
    </row>
    <row r="1180" spans="18:30" x14ac:dyDescent="0.25">
      <c r="R1180" s="22"/>
      <c r="S1180" s="22"/>
      <c r="T1180" s="331"/>
      <c r="U1180" s="22"/>
      <c r="V1180" s="22"/>
      <c r="W1180" s="22"/>
      <c r="X1180" s="22"/>
      <c r="Y1180" s="22"/>
      <c r="Z1180" s="22"/>
      <c r="AA1180" s="22"/>
      <c r="AB1180" s="22"/>
      <c r="AC1180" s="41"/>
      <c r="AD1180" s="22"/>
    </row>
    <row r="1181" spans="18:30" x14ac:dyDescent="0.25">
      <c r="R1181" s="22"/>
      <c r="S1181" s="22"/>
      <c r="T1181" s="331"/>
      <c r="U1181" s="22"/>
      <c r="V1181" s="22"/>
      <c r="W1181" s="22"/>
      <c r="X1181" s="22"/>
      <c r="Y1181" s="22"/>
      <c r="Z1181" s="22"/>
      <c r="AA1181" s="22"/>
      <c r="AB1181" s="22"/>
      <c r="AC1181" s="41"/>
      <c r="AD1181" s="22"/>
    </row>
    <row r="1182" spans="18:30" x14ac:dyDescent="0.25">
      <c r="R1182" s="22"/>
      <c r="S1182" s="22"/>
      <c r="T1182" s="331"/>
      <c r="U1182" s="22"/>
      <c r="V1182" s="22"/>
      <c r="W1182" s="22"/>
      <c r="X1182" s="22"/>
      <c r="Y1182" s="22"/>
      <c r="Z1182" s="22"/>
      <c r="AA1182" s="22"/>
      <c r="AB1182" s="22"/>
      <c r="AC1182" s="41"/>
      <c r="AD1182" s="22"/>
    </row>
    <row r="1183" spans="18:30" x14ac:dyDescent="0.25">
      <c r="R1183" s="22"/>
      <c r="S1183" s="22"/>
      <c r="T1183" s="331"/>
      <c r="U1183" s="22"/>
      <c r="V1183" s="22"/>
      <c r="W1183" s="22"/>
      <c r="X1183" s="22"/>
      <c r="Y1183" s="22"/>
      <c r="Z1183" s="22"/>
      <c r="AA1183" s="22"/>
      <c r="AB1183" s="22"/>
      <c r="AC1183" s="41"/>
      <c r="AD1183" s="22"/>
    </row>
    <row r="1184" spans="18:30" x14ac:dyDescent="0.25">
      <c r="R1184" s="22"/>
      <c r="S1184" s="22"/>
      <c r="T1184" s="331"/>
      <c r="U1184" s="22"/>
      <c r="V1184" s="22"/>
      <c r="W1184" s="22"/>
      <c r="X1184" s="22"/>
      <c r="Y1184" s="22"/>
      <c r="Z1184" s="22"/>
      <c r="AA1184" s="22"/>
      <c r="AB1184" s="22"/>
      <c r="AC1184" s="41"/>
      <c r="AD1184" s="22"/>
    </row>
    <row r="1185" spans="18:30" x14ac:dyDescent="0.25">
      <c r="R1185" s="22"/>
      <c r="S1185" s="22"/>
      <c r="T1185" s="331"/>
      <c r="U1185" s="22"/>
      <c r="V1185" s="22"/>
      <c r="W1185" s="22"/>
      <c r="X1185" s="22"/>
      <c r="Y1185" s="22"/>
      <c r="Z1185" s="22"/>
      <c r="AA1185" s="22"/>
      <c r="AB1185" s="22"/>
      <c r="AC1185" s="41"/>
      <c r="AD1185" s="22"/>
    </row>
    <row r="1186" spans="18:30" x14ac:dyDescent="0.25">
      <c r="R1186" s="22"/>
      <c r="S1186" s="22"/>
      <c r="T1186" s="331"/>
      <c r="U1186" s="22"/>
      <c r="V1186" s="22"/>
      <c r="W1186" s="22"/>
      <c r="X1186" s="22"/>
      <c r="Y1186" s="22"/>
      <c r="Z1186" s="22"/>
      <c r="AA1186" s="22"/>
      <c r="AB1186" s="22"/>
      <c r="AC1186" s="41"/>
      <c r="AD1186" s="22"/>
    </row>
    <row r="1187" spans="18:30" x14ac:dyDescent="0.25">
      <c r="R1187" s="22"/>
      <c r="S1187" s="22"/>
      <c r="T1187" s="331"/>
      <c r="U1187" s="22"/>
      <c r="V1187" s="22"/>
      <c r="W1187" s="22"/>
      <c r="X1187" s="22"/>
      <c r="Y1187" s="22"/>
      <c r="Z1187" s="22"/>
      <c r="AA1187" s="22"/>
      <c r="AB1187" s="22"/>
      <c r="AC1187" s="41"/>
      <c r="AD1187" s="22"/>
    </row>
    <row r="1188" spans="18:30" x14ac:dyDescent="0.25">
      <c r="R1188" s="22"/>
      <c r="S1188" s="22"/>
      <c r="T1188" s="331"/>
      <c r="U1188" s="22"/>
      <c r="V1188" s="22"/>
      <c r="W1188" s="22"/>
      <c r="X1188" s="22"/>
      <c r="Y1188" s="22"/>
      <c r="Z1188" s="22"/>
      <c r="AA1188" s="22"/>
      <c r="AB1188" s="22"/>
      <c r="AC1188" s="41"/>
      <c r="AD1188" s="22"/>
    </row>
    <row r="1189" spans="18:30" x14ac:dyDescent="0.25">
      <c r="R1189" s="22"/>
      <c r="S1189" s="22"/>
      <c r="T1189" s="331"/>
      <c r="U1189" s="22"/>
      <c r="V1189" s="22"/>
      <c r="W1189" s="22"/>
      <c r="X1189" s="22"/>
      <c r="Y1189" s="22"/>
      <c r="Z1189" s="22"/>
      <c r="AA1189" s="22"/>
      <c r="AB1189" s="22"/>
      <c r="AC1189" s="41"/>
      <c r="AD1189" s="22"/>
    </row>
    <row r="1190" spans="18:30" x14ac:dyDescent="0.25">
      <c r="R1190" s="22"/>
      <c r="S1190" s="22"/>
      <c r="T1190" s="331"/>
      <c r="U1190" s="22"/>
      <c r="V1190" s="22"/>
      <c r="W1190" s="22"/>
      <c r="X1190" s="22"/>
      <c r="Y1190" s="22"/>
      <c r="Z1190" s="22"/>
      <c r="AA1190" s="22"/>
      <c r="AB1190" s="22"/>
      <c r="AC1190" s="41"/>
      <c r="AD1190" s="22"/>
    </row>
    <row r="1191" spans="18:30" x14ac:dyDescent="0.25">
      <c r="R1191" s="22"/>
      <c r="S1191" s="22"/>
      <c r="T1191" s="331"/>
      <c r="U1191" s="22"/>
      <c r="V1191" s="22"/>
      <c r="W1191" s="22"/>
      <c r="X1191" s="22"/>
      <c r="Y1191" s="22"/>
      <c r="Z1191" s="22"/>
      <c r="AA1191" s="22"/>
      <c r="AB1191" s="22"/>
      <c r="AC1191" s="41"/>
      <c r="AD1191" s="22"/>
    </row>
    <row r="1192" spans="18:30" x14ac:dyDescent="0.25">
      <c r="R1192" s="22"/>
      <c r="S1192" s="22"/>
      <c r="T1192" s="331"/>
      <c r="U1192" s="22"/>
      <c r="V1192" s="22"/>
      <c r="W1192" s="22"/>
      <c r="X1192" s="22"/>
      <c r="Y1192" s="22"/>
      <c r="Z1192" s="22"/>
      <c r="AA1192" s="22"/>
      <c r="AB1192" s="22"/>
      <c r="AC1192" s="41"/>
      <c r="AD1192" s="22"/>
    </row>
    <row r="1193" spans="18:30" x14ac:dyDescent="0.25">
      <c r="R1193" s="22"/>
      <c r="S1193" s="22"/>
      <c r="T1193" s="331"/>
      <c r="U1193" s="22"/>
      <c r="V1193" s="22"/>
      <c r="W1193" s="22"/>
      <c r="X1193" s="22"/>
      <c r="Y1193" s="22"/>
      <c r="Z1193" s="22"/>
      <c r="AA1193" s="22"/>
      <c r="AB1193" s="22"/>
      <c r="AC1193" s="41"/>
      <c r="AD1193" s="22"/>
    </row>
    <row r="1194" spans="18:30" x14ac:dyDescent="0.25">
      <c r="R1194" s="22"/>
      <c r="S1194" s="22"/>
      <c r="T1194" s="331"/>
      <c r="U1194" s="22"/>
      <c r="V1194" s="22"/>
      <c r="W1194" s="22"/>
      <c r="X1194" s="22"/>
      <c r="Y1194" s="22"/>
      <c r="Z1194" s="22"/>
      <c r="AA1194" s="22"/>
      <c r="AB1194" s="22"/>
      <c r="AC1194" s="41"/>
      <c r="AD1194" s="22"/>
    </row>
    <row r="1195" spans="18:30" x14ac:dyDescent="0.25">
      <c r="R1195" s="22"/>
      <c r="S1195" s="22"/>
      <c r="T1195" s="331"/>
      <c r="U1195" s="22"/>
      <c r="V1195" s="22"/>
      <c r="W1195" s="22"/>
      <c r="X1195" s="22"/>
      <c r="Y1195" s="22"/>
      <c r="Z1195" s="22"/>
      <c r="AA1195" s="22"/>
      <c r="AB1195" s="22"/>
      <c r="AC1195" s="41"/>
      <c r="AD1195" s="22"/>
    </row>
    <row r="1196" spans="18:30" x14ac:dyDescent="0.25">
      <c r="R1196" s="22"/>
      <c r="S1196" s="22"/>
      <c r="T1196" s="331"/>
      <c r="U1196" s="22"/>
      <c r="V1196" s="22"/>
      <c r="W1196" s="22"/>
      <c r="X1196" s="22"/>
      <c r="Y1196" s="22"/>
      <c r="Z1196" s="22"/>
      <c r="AA1196" s="22"/>
      <c r="AB1196" s="22"/>
      <c r="AC1196" s="41"/>
      <c r="AD1196" s="22"/>
    </row>
    <row r="1197" spans="18:30" x14ac:dyDescent="0.25">
      <c r="R1197" s="22"/>
      <c r="S1197" s="22"/>
      <c r="T1197" s="331"/>
      <c r="U1197" s="22"/>
      <c r="V1197" s="22"/>
      <c r="W1197" s="22"/>
      <c r="X1197" s="22"/>
      <c r="Y1197" s="22"/>
      <c r="Z1197" s="22"/>
      <c r="AA1197" s="22"/>
      <c r="AB1197" s="22"/>
      <c r="AC1197" s="41"/>
      <c r="AD1197" s="22"/>
    </row>
    <row r="1198" spans="18:30" x14ac:dyDescent="0.25">
      <c r="R1198" s="22"/>
      <c r="S1198" s="22"/>
      <c r="T1198" s="331"/>
      <c r="U1198" s="22"/>
      <c r="V1198" s="22"/>
      <c r="W1198" s="22"/>
      <c r="X1198" s="22"/>
      <c r="Y1198" s="22"/>
      <c r="Z1198" s="22"/>
      <c r="AA1198" s="22"/>
      <c r="AB1198" s="22"/>
      <c r="AC1198" s="41"/>
      <c r="AD1198" s="22"/>
    </row>
    <row r="1199" spans="18:30" x14ac:dyDescent="0.25">
      <c r="R1199" s="22"/>
      <c r="S1199" s="22"/>
      <c r="T1199" s="331"/>
      <c r="U1199" s="22"/>
      <c r="V1199" s="22"/>
      <c r="W1199" s="22"/>
      <c r="X1199" s="22"/>
      <c r="Y1199" s="22"/>
      <c r="Z1199" s="22"/>
      <c r="AA1199" s="22"/>
      <c r="AB1199" s="22"/>
      <c r="AC1199" s="41"/>
      <c r="AD1199" s="22"/>
    </row>
    <row r="1200" spans="18:30" x14ac:dyDescent="0.25">
      <c r="R1200" s="22"/>
      <c r="S1200" s="22"/>
      <c r="T1200" s="331"/>
      <c r="U1200" s="22"/>
      <c r="V1200" s="22"/>
      <c r="W1200" s="22"/>
      <c r="X1200" s="22"/>
      <c r="Y1200" s="22"/>
      <c r="Z1200" s="22"/>
      <c r="AA1200" s="22"/>
      <c r="AB1200" s="22"/>
      <c r="AC1200" s="41"/>
      <c r="AD1200" s="22"/>
    </row>
    <row r="1201" spans="18:30" x14ac:dyDescent="0.25">
      <c r="R1201" s="22"/>
      <c r="S1201" s="22"/>
      <c r="T1201" s="331"/>
      <c r="U1201" s="22"/>
      <c r="V1201" s="22"/>
      <c r="W1201" s="22"/>
      <c r="X1201" s="22"/>
      <c r="Y1201" s="22"/>
      <c r="Z1201" s="22"/>
      <c r="AA1201" s="22"/>
      <c r="AB1201" s="22"/>
      <c r="AC1201" s="41"/>
      <c r="AD1201" s="22"/>
    </row>
    <row r="1202" spans="18:30" x14ac:dyDescent="0.25">
      <c r="R1202" s="22"/>
      <c r="S1202" s="22"/>
      <c r="T1202" s="331"/>
      <c r="U1202" s="22"/>
      <c r="V1202" s="22"/>
      <c r="W1202" s="22"/>
      <c r="X1202" s="22"/>
      <c r="Y1202" s="22"/>
      <c r="Z1202" s="22"/>
      <c r="AA1202" s="22"/>
      <c r="AB1202" s="22"/>
      <c r="AC1202" s="41"/>
      <c r="AD1202" s="22"/>
    </row>
    <row r="1203" spans="18:30" x14ac:dyDescent="0.25">
      <c r="R1203" s="22"/>
      <c r="S1203" s="22"/>
      <c r="T1203" s="331"/>
      <c r="U1203" s="22"/>
      <c r="V1203" s="22"/>
      <c r="W1203" s="22"/>
      <c r="X1203" s="22"/>
      <c r="Y1203" s="22"/>
      <c r="Z1203" s="22"/>
      <c r="AA1203" s="22"/>
      <c r="AB1203" s="22"/>
      <c r="AC1203" s="41"/>
      <c r="AD1203" s="22"/>
    </row>
    <row r="1204" spans="18:30" x14ac:dyDescent="0.25">
      <c r="R1204" s="22"/>
      <c r="S1204" s="22"/>
      <c r="T1204" s="331"/>
      <c r="U1204" s="22"/>
      <c r="V1204" s="22"/>
      <c r="W1204" s="22"/>
      <c r="X1204" s="22"/>
      <c r="Y1204" s="22"/>
      <c r="Z1204" s="22"/>
      <c r="AA1204" s="22"/>
      <c r="AB1204" s="22"/>
      <c r="AC1204" s="41"/>
      <c r="AD1204" s="22"/>
    </row>
    <row r="1205" spans="18:30" x14ac:dyDescent="0.25">
      <c r="R1205" s="22"/>
      <c r="S1205" s="22"/>
      <c r="T1205" s="331"/>
      <c r="U1205" s="22"/>
      <c r="V1205" s="22"/>
      <c r="W1205" s="22"/>
      <c r="X1205" s="22"/>
      <c r="Y1205" s="22"/>
      <c r="Z1205" s="22"/>
      <c r="AA1205" s="22"/>
      <c r="AB1205" s="22"/>
      <c r="AC1205" s="41"/>
      <c r="AD1205" s="22"/>
    </row>
    <row r="1206" spans="18:30" x14ac:dyDescent="0.25">
      <c r="R1206" s="22"/>
      <c r="S1206" s="22"/>
      <c r="T1206" s="331"/>
      <c r="U1206" s="22"/>
      <c r="V1206" s="22"/>
      <c r="W1206" s="22"/>
      <c r="X1206" s="22"/>
      <c r="Y1206" s="22"/>
      <c r="Z1206" s="22"/>
      <c r="AA1206" s="22"/>
      <c r="AB1206" s="22"/>
      <c r="AC1206" s="41"/>
      <c r="AD1206" s="22"/>
    </row>
    <row r="1207" spans="18:30" x14ac:dyDescent="0.25">
      <c r="R1207" s="22"/>
      <c r="S1207" s="22"/>
      <c r="T1207" s="331"/>
      <c r="U1207" s="22"/>
      <c r="V1207" s="22"/>
      <c r="W1207" s="22"/>
      <c r="X1207" s="22"/>
      <c r="Y1207" s="22"/>
      <c r="Z1207" s="22"/>
      <c r="AA1207" s="22"/>
      <c r="AB1207" s="22"/>
      <c r="AC1207" s="41"/>
      <c r="AD1207" s="22"/>
    </row>
    <row r="1208" spans="18:30" x14ac:dyDescent="0.25">
      <c r="R1208" s="22"/>
      <c r="S1208" s="22"/>
      <c r="T1208" s="331"/>
      <c r="U1208" s="22"/>
      <c r="V1208" s="22"/>
      <c r="W1208" s="22"/>
      <c r="X1208" s="22"/>
      <c r="Y1208" s="22"/>
      <c r="Z1208" s="22"/>
      <c r="AA1208" s="22"/>
      <c r="AB1208" s="22"/>
      <c r="AC1208" s="41"/>
      <c r="AD1208" s="22"/>
    </row>
    <row r="1209" spans="18:30" x14ac:dyDescent="0.25">
      <c r="R1209" s="22"/>
      <c r="S1209" s="22"/>
      <c r="T1209" s="331"/>
      <c r="U1209" s="22"/>
      <c r="V1209" s="22"/>
      <c r="W1209" s="22"/>
      <c r="X1209" s="22"/>
      <c r="Y1209" s="22"/>
      <c r="Z1209" s="22"/>
      <c r="AA1209" s="22"/>
      <c r="AB1209" s="22"/>
      <c r="AC1209" s="41"/>
      <c r="AD1209" s="22"/>
    </row>
    <row r="1210" spans="18:30" x14ac:dyDescent="0.25">
      <c r="R1210" s="22"/>
      <c r="S1210" s="22"/>
      <c r="T1210" s="331"/>
      <c r="U1210" s="22"/>
      <c r="V1210" s="22"/>
      <c r="W1210" s="22"/>
      <c r="X1210" s="22"/>
      <c r="Y1210" s="22"/>
      <c r="Z1210" s="22"/>
      <c r="AA1210" s="22"/>
      <c r="AB1210" s="22"/>
      <c r="AC1210" s="41"/>
      <c r="AD1210" s="22"/>
    </row>
    <row r="1211" spans="18:30" x14ac:dyDescent="0.25">
      <c r="R1211" s="22"/>
      <c r="S1211" s="22"/>
      <c r="T1211" s="331"/>
      <c r="U1211" s="22"/>
      <c r="V1211" s="22"/>
      <c r="W1211" s="22"/>
      <c r="X1211" s="22"/>
      <c r="Y1211" s="22"/>
      <c r="Z1211" s="22"/>
      <c r="AA1211" s="22"/>
      <c r="AB1211" s="22"/>
      <c r="AC1211" s="41"/>
      <c r="AD1211" s="22"/>
    </row>
    <row r="1212" spans="18:30" x14ac:dyDescent="0.25">
      <c r="R1212" s="22"/>
      <c r="S1212" s="22"/>
      <c r="T1212" s="331"/>
      <c r="U1212" s="22"/>
      <c r="V1212" s="22"/>
      <c r="W1212" s="22"/>
      <c r="X1212" s="22"/>
      <c r="Y1212" s="22"/>
      <c r="Z1212" s="22"/>
      <c r="AA1212" s="22"/>
      <c r="AB1212" s="22"/>
      <c r="AC1212" s="41"/>
      <c r="AD1212" s="22"/>
    </row>
    <row r="1213" spans="18:30" x14ac:dyDescent="0.25">
      <c r="R1213" s="22"/>
      <c r="S1213" s="22"/>
      <c r="T1213" s="331"/>
      <c r="U1213" s="22"/>
      <c r="V1213" s="22"/>
      <c r="W1213" s="22"/>
      <c r="X1213" s="22"/>
      <c r="Y1213" s="22"/>
      <c r="Z1213" s="22"/>
      <c r="AA1213" s="22"/>
      <c r="AB1213" s="22"/>
      <c r="AC1213" s="41"/>
      <c r="AD1213" s="22"/>
    </row>
    <row r="1214" spans="18:30" x14ac:dyDescent="0.25">
      <c r="R1214" s="22"/>
      <c r="S1214" s="22"/>
      <c r="T1214" s="331"/>
      <c r="U1214" s="22"/>
      <c r="V1214" s="22"/>
      <c r="W1214" s="22"/>
      <c r="X1214" s="22"/>
      <c r="Y1214" s="22"/>
      <c r="Z1214" s="22"/>
      <c r="AA1214" s="22"/>
      <c r="AB1214" s="22"/>
      <c r="AC1214" s="41"/>
      <c r="AD1214" s="22"/>
    </row>
    <row r="1215" spans="18:30" x14ac:dyDescent="0.25">
      <c r="R1215" s="22"/>
      <c r="S1215" s="22"/>
      <c r="T1215" s="331"/>
      <c r="U1215" s="22"/>
      <c r="V1215" s="22"/>
      <c r="W1215" s="22"/>
      <c r="X1215" s="22"/>
      <c r="Y1215" s="22"/>
      <c r="Z1215" s="22"/>
      <c r="AA1215" s="22"/>
      <c r="AB1215" s="22"/>
      <c r="AC1215" s="41"/>
      <c r="AD1215" s="22"/>
    </row>
    <row r="1216" spans="18:30" x14ac:dyDescent="0.25">
      <c r="R1216" s="22"/>
      <c r="S1216" s="22"/>
      <c r="T1216" s="331"/>
      <c r="U1216" s="22"/>
      <c r="V1216" s="22"/>
      <c r="W1216" s="22"/>
      <c r="X1216" s="22"/>
      <c r="Y1216" s="22"/>
      <c r="Z1216" s="22"/>
      <c r="AA1216" s="22"/>
      <c r="AB1216" s="22"/>
      <c r="AC1216" s="41"/>
      <c r="AD1216" s="22"/>
    </row>
    <row r="1217" spans="18:30" x14ac:dyDescent="0.25">
      <c r="R1217" s="22"/>
      <c r="S1217" s="22"/>
      <c r="T1217" s="331"/>
      <c r="U1217" s="22"/>
      <c r="V1217" s="22"/>
      <c r="W1217" s="22"/>
      <c r="X1217" s="22"/>
      <c r="Y1217" s="22"/>
      <c r="Z1217" s="22"/>
      <c r="AA1217" s="22"/>
      <c r="AB1217" s="22"/>
      <c r="AC1217" s="41"/>
      <c r="AD1217" s="22"/>
    </row>
    <row r="1218" spans="18:30" x14ac:dyDescent="0.25">
      <c r="R1218" s="22"/>
      <c r="S1218" s="22"/>
      <c r="T1218" s="331"/>
      <c r="U1218" s="22"/>
      <c r="V1218" s="22"/>
      <c r="W1218" s="22"/>
      <c r="X1218" s="22"/>
      <c r="Y1218" s="22"/>
      <c r="Z1218" s="22"/>
      <c r="AA1218" s="22"/>
      <c r="AB1218" s="22"/>
      <c r="AC1218" s="41"/>
      <c r="AD1218" s="22"/>
    </row>
    <row r="1219" spans="18:30" x14ac:dyDescent="0.25">
      <c r="R1219" s="22"/>
      <c r="S1219" s="22"/>
      <c r="T1219" s="331"/>
      <c r="U1219" s="22"/>
      <c r="V1219" s="22"/>
      <c r="W1219" s="22"/>
      <c r="X1219" s="22"/>
      <c r="Y1219" s="22"/>
      <c r="Z1219" s="22"/>
      <c r="AA1219" s="22"/>
      <c r="AB1219" s="22"/>
      <c r="AC1219" s="41"/>
      <c r="AD1219" s="22"/>
    </row>
    <row r="1220" spans="18:30" x14ac:dyDescent="0.25">
      <c r="R1220" s="22"/>
      <c r="S1220" s="22"/>
      <c r="T1220" s="331"/>
      <c r="U1220" s="22"/>
      <c r="V1220" s="22"/>
      <c r="W1220" s="22"/>
      <c r="X1220" s="22"/>
      <c r="Y1220" s="22"/>
      <c r="Z1220" s="22"/>
      <c r="AA1220" s="22"/>
      <c r="AB1220" s="22"/>
      <c r="AC1220" s="41"/>
      <c r="AD1220" s="22"/>
    </row>
    <row r="1221" spans="18:30" x14ac:dyDescent="0.25">
      <c r="R1221" s="22"/>
      <c r="S1221" s="22"/>
      <c r="T1221" s="331"/>
      <c r="U1221" s="22"/>
      <c r="V1221" s="22"/>
      <c r="W1221" s="22"/>
      <c r="X1221" s="22"/>
      <c r="Y1221" s="22"/>
      <c r="Z1221" s="22"/>
      <c r="AA1221" s="22"/>
      <c r="AB1221" s="22"/>
      <c r="AC1221" s="41"/>
      <c r="AD1221" s="22"/>
    </row>
    <row r="1222" spans="18:30" x14ac:dyDescent="0.25">
      <c r="R1222" s="22"/>
      <c r="S1222" s="22"/>
      <c r="T1222" s="331"/>
      <c r="U1222" s="22"/>
      <c r="V1222" s="22"/>
      <c r="W1222" s="22"/>
      <c r="X1222" s="22"/>
      <c r="Y1222" s="22"/>
      <c r="Z1222" s="22"/>
      <c r="AA1222" s="22"/>
      <c r="AB1222" s="22"/>
      <c r="AC1222" s="41"/>
      <c r="AD1222" s="22"/>
    </row>
    <row r="1223" spans="18:30" x14ac:dyDescent="0.25">
      <c r="R1223" s="22"/>
      <c r="S1223" s="22"/>
      <c r="T1223" s="331"/>
      <c r="U1223" s="22"/>
      <c r="V1223" s="22"/>
      <c r="W1223" s="22"/>
      <c r="X1223" s="22"/>
      <c r="Y1223" s="22"/>
      <c r="Z1223" s="22"/>
      <c r="AA1223" s="22"/>
      <c r="AB1223" s="22"/>
      <c r="AC1223" s="41"/>
      <c r="AD1223" s="22"/>
    </row>
    <row r="1224" spans="18:30" x14ac:dyDescent="0.25">
      <c r="R1224" s="22"/>
      <c r="S1224" s="22"/>
      <c r="T1224" s="331"/>
      <c r="U1224" s="22"/>
      <c r="V1224" s="22"/>
      <c r="W1224" s="22"/>
      <c r="X1224" s="22"/>
      <c r="Y1224" s="22"/>
      <c r="Z1224" s="22"/>
      <c r="AA1224" s="22"/>
      <c r="AB1224" s="22"/>
      <c r="AC1224" s="41"/>
      <c r="AD1224" s="22"/>
    </row>
    <row r="1225" spans="18:30" x14ac:dyDescent="0.25">
      <c r="R1225" s="22"/>
      <c r="S1225" s="22"/>
      <c r="T1225" s="331"/>
      <c r="U1225" s="22"/>
      <c r="V1225" s="22"/>
      <c r="W1225" s="22"/>
      <c r="X1225" s="22"/>
      <c r="Y1225" s="22"/>
      <c r="Z1225" s="22"/>
      <c r="AA1225" s="22"/>
      <c r="AB1225" s="22"/>
      <c r="AC1225" s="41"/>
      <c r="AD1225" s="22"/>
    </row>
    <row r="1226" spans="18:30" x14ac:dyDescent="0.25">
      <c r="R1226" s="22"/>
      <c r="S1226" s="22"/>
      <c r="T1226" s="331"/>
      <c r="U1226" s="22"/>
      <c r="V1226" s="22"/>
      <c r="W1226" s="22"/>
      <c r="X1226" s="22"/>
      <c r="Y1226" s="22"/>
      <c r="Z1226" s="22"/>
      <c r="AA1226" s="22"/>
      <c r="AB1226" s="22"/>
      <c r="AC1226" s="41"/>
      <c r="AD1226" s="22"/>
    </row>
    <row r="1227" spans="18:30" x14ac:dyDescent="0.25">
      <c r="R1227" s="22"/>
      <c r="S1227" s="22"/>
      <c r="T1227" s="331"/>
      <c r="U1227" s="22"/>
      <c r="V1227" s="22"/>
      <c r="W1227" s="22"/>
      <c r="X1227" s="22"/>
      <c r="Y1227" s="22"/>
      <c r="Z1227" s="22"/>
      <c r="AA1227" s="22"/>
      <c r="AB1227" s="22"/>
      <c r="AC1227" s="41"/>
      <c r="AD1227" s="22"/>
    </row>
    <row r="1228" spans="18:30" x14ac:dyDescent="0.25">
      <c r="R1228" s="22"/>
      <c r="S1228" s="22"/>
      <c r="T1228" s="331"/>
      <c r="U1228" s="22"/>
      <c r="V1228" s="22"/>
      <c r="W1228" s="22"/>
      <c r="X1228" s="22"/>
      <c r="Y1228" s="22"/>
      <c r="Z1228" s="22"/>
      <c r="AA1228" s="22"/>
      <c r="AB1228" s="22"/>
      <c r="AC1228" s="41"/>
      <c r="AD1228" s="22"/>
    </row>
    <row r="1229" spans="18:30" x14ac:dyDescent="0.25">
      <c r="R1229" s="22"/>
      <c r="S1229" s="22"/>
      <c r="T1229" s="331"/>
      <c r="U1229" s="22"/>
      <c r="V1229" s="22"/>
      <c r="W1229" s="22"/>
      <c r="X1229" s="22"/>
      <c r="Y1229" s="22"/>
      <c r="Z1229" s="22"/>
      <c r="AA1229" s="22"/>
      <c r="AB1229" s="22"/>
      <c r="AC1229" s="41"/>
      <c r="AD1229" s="22"/>
    </row>
    <row r="1230" spans="18:30" x14ac:dyDescent="0.25">
      <c r="R1230" s="22"/>
      <c r="S1230" s="22"/>
      <c r="T1230" s="331"/>
      <c r="U1230" s="22"/>
      <c r="V1230" s="22"/>
      <c r="W1230" s="22"/>
      <c r="X1230" s="22"/>
      <c r="Y1230" s="22"/>
      <c r="Z1230" s="22"/>
      <c r="AA1230" s="22"/>
      <c r="AB1230" s="22"/>
      <c r="AC1230" s="41"/>
      <c r="AD1230" s="22"/>
    </row>
    <row r="1231" spans="18:30" x14ac:dyDescent="0.25">
      <c r="R1231" s="22"/>
      <c r="S1231" s="22"/>
      <c r="T1231" s="331"/>
      <c r="U1231" s="22"/>
      <c r="V1231" s="22"/>
      <c r="W1231" s="22"/>
      <c r="X1231" s="22"/>
      <c r="Y1231" s="22"/>
      <c r="Z1231" s="22"/>
      <c r="AA1231" s="22"/>
      <c r="AB1231" s="22"/>
      <c r="AC1231" s="41"/>
      <c r="AD1231" s="22"/>
    </row>
    <row r="1232" spans="18:30" x14ac:dyDescent="0.25">
      <c r="R1232" s="22"/>
      <c r="S1232" s="22"/>
      <c r="T1232" s="331"/>
      <c r="U1232" s="22"/>
      <c r="V1232" s="22"/>
      <c r="W1232" s="22"/>
      <c r="X1232" s="22"/>
      <c r="Y1232" s="22"/>
      <c r="Z1232" s="22"/>
      <c r="AA1232" s="22"/>
      <c r="AB1232" s="22"/>
      <c r="AC1232" s="41"/>
      <c r="AD1232" s="22"/>
    </row>
    <row r="1233" spans="18:30" x14ac:dyDescent="0.25">
      <c r="R1233" s="22"/>
      <c r="S1233" s="22"/>
      <c r="T1233" s="331"/>
      <c r="U1233" s="22"/>
      <c r="V1233" s="22"/>
      <c r="W1233" s="22"/>
      <c r="X1233" s="22"/>
      <c r="Y1233" s="22"/>
      <c r="Z1233" s="22"/>
      <c r="AA1233" s="22"/>
      <c r="AB1233" s="22"/>
      <c r="AC1233" s="41"/>
      <c r="AD1233" s="22"/>
    </row>
    <row r="1234" spans="18:30" x14ac:dyDescent="0.25">
      <c r="R1234" s="22"/>
      <c r="S1234" s="22"/>
      <c r="T1234" s="331"/>
      <c r="U1234" s="22"/>
      <c r="V1234" s="22"/>
      <c r="W1234" s="22"/>
      <c r="X1234" s="22"/>
      <c r="Y1234" s="22"/>
      <c r="Z1234" s="22"/>
      <c r="AA1234" s="22"/>
      <c r="AB1234" s="22"/>
      <c r="AC1234" s="41"/>
      <c r="AD1234" s="22"/>
    </row>
    <row r="1235" spans="18:30" x14ac:dyDescent="0.25">
      <c r="R1235" s="22"/>
      <c r="S1235" s="22"/>
      <c r="T1235" s="331"/>
      <c r="U1235" s="22"/>
      <c r="V1235" s="22"/>
      <c r="W1235" s="22"/>
      <c r="X1235" s="22"/>
      <c r="Y1235" s="22"/>
      <c r="Z1235" s="22"/>
      <c r="AA1235" s="22"/>
      <c r="AB1235" s="22"/>
      <c r="AC1235" s="41"/>
      <c r="AD1235" s="22"/>
    </row>
    <row r="1236" spans="18:30" x14ac:dyDescent="0.25">
      <c r="R1236" s="22"/>
      <c r="S1236" s="22"/>
      <c r="T1236" s="331"/>
      <c r="U1236" s="22"/>
      <c r="V1236" s="22"/>
      <c r="W1236" s="22"/>
      <c r="X1236" s="22"/>
      <c r="Y1236" s="22"/>
      <c r="Z1236" s="22"/>
      <c r="AA1236" s="22"/>
      <c r="AB1236" s="22"/>
      <c r="AC1236" s="41"/>
      <c r="AD1236" s="22"/>
    </row>
    <row r="1237" spans="18:30" x14ac:dyDescent="0.25">
      <c r="R1237" s="22"/>
      <c r="S1237" s="22"/>
      <c r="T1237" s="331"/>
      <c r="U1237" s="22"/>
      <c r="V1237" s="22"/>
      <c r="W1237" s="22"/>
      <c r="X1237" s="22"/>
      <c r="Y1237" s="22"/>
      <c r="Z1237" s="22"/>
      <c r="AA1237" s="22"/>
      <c r="AB1237" s="22"/>
      <c r="AC1237" s="41"/>
      <c r="AD1237" s="22"/>
    </row>
    <row r="1238" spans="18:30" x14ac:dyDescent="0.25">
      <c r="R1238" s="22"/>
      <c r="S1238" s="22"/>
      <c r="T1238" s="331"/>
      <c r="U1238" s="22"/>
      <c r="V1238" s="22"/>
      <c r="W1238" s="22"/>
      <c r="X1238" s="22"/>
      <c r="Y1238" s="22"/>
      <c r="Z1238" s="22"/>
      <c r="AA1238" s="22"/>
      <c r="AB1238" s="22"/>
      <c r="AC1238" s="41"/>
      <c r="AD1238" s="22"/>
    </row>
    <row r="1239" spans="18:30" x14ac:dyDescent="0.25">
      <c r="R1239" s="22"/>
      <c r="S1239" s="22"/>
      <c r="T1239" s="331"/>
      <c r="U1239" s="22"/>
      <c r="V1239" s="22"/>
      <c r="W1239" s="22"/>
      <c r="X1239" s="22"/>
      <c r="Y1239" s="22"/>
      <c r="Z1239" s="22"/>
      <c r="AA1239" s="22"/>
      <c r="AB1239" s="22"/>
      <c r="AC1239" s="41"/>
      <c r="AD1239" s="22"/>
    </row>
    <row r="1240" spans="18:30" x14ac:dyDescent="0.25">
      <c r="R1240" s="22"/>
      <c r="S1240" s="22"/>
      <c r="T1240" s="331"/>
      <c r="U1240" s="22"/>
      <c r="V1240" s="22"/>
      <c r="W1240" s="22"/>
      <c r="X1240" s="22"/>
      <c r="Y1240" s="22"/>
      <c r="Z1240" s="22"/>
      <c r="AA1240" s="22"/>
      <c r="AB1240" s="22"/>
      <c r="AC1240" s="41"/>
      <c r="AD1240" s="22"/>
    </row>
    <row r="1241" spans="18:30" x14ac:dyDescent="0.25">
      <c r="R1241" s="22"/>
      <c r="S1241" s="22"/>
      <c r="T1241" s="331"/>
      <c r="U1241" s="22"/>
      <c r="V1241" s="22"/>
      <c r="W1241" s="22"/>
      <c r="X1241" s="22"/>
      <c r="Y1241" s="22"/>
      <c r="Z1241" s="22"/>
      <c r="AA1241" s="22"/>
      <c r="AB1241" s="22"/>
      <c r="AC1241" s="41"/>
      <c r="AD1241" s="22"/>
    </row>
    <row r="1242" spans="18:30" x14ac:dyDescent="0.25">
      <c r="R1242" s="22"/>
      <c r="S1242" s="22"/>
      <c r="T1242" s="331"/>
      <c r="U1242" s="22"/>
      <c r="V1242" s="22"/>
      <c r="W1242" s="22"/>
      <c r="X1242" s="22"/>
      <c r="Y1242" s="22"/>
      <c r="Z1242" s="22"/>
      <c r="AA1242" s="22"/>
      <c r="AB1242" s="22"/>
      <c r="AC1242" s="41"/>
      <c r="AD1242" s="22"/>
    </row>
    <row r="1243" spans="18:30" x14ac:dyDescent="0.25">
      <c r="R1243" s="22"/>
      <c r="S1243" s="22"/>
      <c r="T1243" s="331"/>
      <c r="U1243" s="22"/>
      <c r="V1243" s="22"/>
      <c r="W1243" s="22"/>
      <c r="X1243" s="22"/>
      <c r="Y1243" s="22"/>
      <c r="Z1243" s="22"/>
      <c r="AA1243" s="22"/>
      <c r="AB1243" s="22"/>
      <c r="AC1243" s="41"/>
      <c r="AD1243" s="22"/>
    </row>
    <row r="1244" spans="18:30" x14ac:dyDescent="0.25">
      <c r="R1244" s="22"/>
      <c r="S1244" s="22"/>
      <c r="T1244" s="331"/>
      <c r="U1244" s="22"/>
      <c r="V1244" s="22"/>
      <c r="W1244" s="22"/>
      <c r="X1244" s="22"/>
      <c r="Y1244" s="22"/>
      <c r="Z1244" s="22"/>
      <c r="AA1244" s="22"/>
      <c r="AB1244" s="22"/>
      <c r="AC1244" s="41"/>
      <c r="AD1244" s="22"/>
    </row>
    <row r="1245" spans="18:30" x14ac:dyDescent="0.25">
      <c r="R1245" s="22"/>
      <c r="S1245" s="22"/>
      <c r="T1245" s="331"/>
      <c r="U1245" s="22"/>
      <c r="V1245" s="22"/>
      <c r="W1245" s="22"/>
      <c r="X1245" s="22"/>
      <c r="Y1245" s="22"/>
      <c r="Z1245" s="22"/>
      <c r="AA1245" s="22"/>
      <c r="AB1245" s="22"/>
      <c r="AC1245" s="41"/>
      <c r="AD1245" s="22"/>
    </row>
    <row r="1246" spans="18:30" x14ac:dyDescent="0.25">
      <c r="R1246" s="22"/>
      <c r="S1246" s="22"/>
      <c r="T1246" s="331"/>
      <c r="U1246" s="22"/>
      <c r="V1246" s="22"/>
      <c r="W1246" s="22"/>
      <c r="X1246" s="22"/>
      <c r="Y1246" s="22"/>
      <c r="Z1246" s="22"/>
      <c r="AA1246" s="22"/>
      <c r="AB1246" s="22"/>
      <c r="AC1246" s="41"/>
      <c r="AD1246" s="22"/>
    </row>
    <row r="1247" spans="18:30" x14ac:dyDescent="0.25">
      <c r="R1247" s="22"/>
      <c r="S1247" s="22"/>
      <c r="T1247" s="331"/>
      <c r="U1247" s="22"/>
      <c r="V1247" s="22"/>
      <c r="W1247" s="22"/>
      <c r="X1247" s="22"/>
      <c r="Y1247" s="22"/>
      <c r="Z1247" s="22"/>
      <c r="AA1247" s="22"/>
      <c r="AB1247" s="22"/>
      <c r="AC1247" s="41"/>
      <c r="AD1247" s="22"/>
    </row>
    <row r="1248" spans="18:30" x14ac:dyDescent="0.25">
      <c r="R1248" s="22"/>
      <c r="S1248" s="22"/>
      <c r="T1248" s="331"/>
      <c r="U1248" s="22"/>
      <c r="V1248" s="22"/>
      <c r="W1248" s="22"/>
      <c r="X1248" s="22"/>
      <c r="Y1248" s="22"/>
      <c r="Z1248" s="22"/>
      <c r="AA1248" s="22"/>
      <c r="AB1248" s="22"/>
      <c r="AC1248" s="41"/>
      <c r="AD1248" s="22"/>
    </row>
    <row r="1249" spans="18:30" x14ac:dyDescent="0.25">
      <c r="R1249" s="22"/>
      <c r="S1249" s="22"/>
      <c r="T1249" s="331"/>
      <c r="U1249" s="22"/>
      <c r="V1249" s="22"/>
      <c r="W1249" s="22"/>
      <c r="X1249" s="22"/>
      <c r="Y1249" s="22"/>
      <c r="Z1249" s="22"/>
      <c r="AA1249" s="22"/>
      <c r="AB1249" s="22"/>
      <c r="AC1249" s="41"/>
      <c r="AD1249" s="22"/>
    </row>
    <row r="1250" spans="18:30" x14ac:dyDescent="0.25">
      <c r="R1250" s="22"/>
      <c r="S1250" s="22"/>
      <c r="T1250" s="331"/>
      <c r="U1250" s="22"/>
      <c r="V1250" s="22"/>
      <c r="W1250" s="22"/>
      <c r="X1250" s="22"/>
      <c r="Y1250" s="22"/>
      <c r="Z1250" s="22"/>
      <c r="AA1250" s="22"/>
      <c r="AB1250" s="22"/>
      <c r="AC1250" s="41"/>
      <c r="AD1250" s="22"/>
    </row>
    <row r="1251" spans="18:30" x14ac:dyDescent="0.25">
      <c r="R1251" s="22"/>
      <c r="S1251" s="22"/>
      <c r="T1251" s="331"/>
      <c r="U1251" s="22"/>
      <c r="V1251" s="22"/>
      <c r="W1251" s="22"/>
      <c r="X1251" s="22"/>
      <c r="Y1251" s="22"/>
      <c r="Z1251" s="22"/>
      <c r="AA1251" s="22"/>
      <c r="AB1251" s="22"/>
      <c r="AC1251" s="41"/>
      <c r="AD1251" s="22"/>
    </row>
    <row r="1252" spans="18:30" x14ac:dyDescent="0.25">
      <c r="R1252" s="22"/>
      <c r="S1252" s="22"/>
      <c r="T1252" s="331"/>
      <c r="U1252" s="22"/>
      <c r="V1252" s="22"/>
      <c r="W1252" s="22"/>
      <c r="X1252" s="22"/>
      <c r="Y1252" s="22"/>
      <c r="Z1252" s="22"/>
      <c r="AA1252" s="22"/>
      <c r="AB1252" s="22"/>
      <c r="AC1252" s="41"/>
      <c r="AD1252" s="22"/>
    </row>
    <row r="1253" spans="18:30" x14ac:dyDescent="0.25">
      <c r="R1253" s="22"/>
      <c r="S1253" s="22"/>
      <c r="T1253" s="331"/>
      <c r="U1253" s="22"/>
      <c r="V1253" s="22"/>
      <c r="W1253" s="22"/>
      <c r="X1253" s="22"/>
      <c r="Y1253" s="22"/>
      <c r="Z1253" s="22"/>
      <c r="AA1253" s="22"/>
      <c r="AB1253" s="22"/>
      <c r="AC1253" s="41"/>
      <c r="AD1253" s="22"/>
    </row>
    <row r="1254" spans="18:30" x14ac:dyDescent="0.25">
      <c r="R1254" s="22"/>
      <c r="S1254" s="22"/>
      <c r="T1254" s="331"/>
      <c r="U1254" s="22"/>
      <c r="V1254" s="22"/>
      <c r="W1254" s="22"/>
      <c r="X1254" s="22"/>
      <c r="Y1254" s="22"/>
      <c r="Z1254" s="22"/>
      <c r="AA1254" s="22"/>
      <c r="AB1254" s="22"/>
      <c r="AC1254" s="41"/>
      <c r="AD1254" s="22"/>
    </row>
    <row r="1255" spans="18:30" x14ac:dyDescent="0.25">
      <c r="R1255" s="22"/>
      <c r="S1255" s="22"/>
      <c r="T1255" s="331"/>
      <c r="U1255" s="22"/>
      <c r="V1255" s="22"/>
      <c r="W1255" s="22"/>
      <c r="X1255" s="22"/>
      <c r="Y1255" s="22"/>
      <c r="Z1255" s="22"/>
      <c r="AA1255" s="22"/>
      <c r="AB1255" s="22"/>
      <c r="AC1255" s="41"/>
      <c r="AD1255" s="22"/>
    </row>
    <row r="1256" spans="18:30" x14ac:dyDescent="0.25">
      <c r="R1256" s="22"/>
      <c r="S1256" s="22"/>
      <c r="T1256" s="331"/>
      <c r="U1256" s="22"/>
      <c r="V1256" s="22"/>
      <c r="W1256" s="22"/>
      <c r="X1256" s="22"/>
      <c r="Y1256" s="22"/>
      <c r="Z1256" s="22"/>
      <c r="AA1256" s="22"/>
      <c r="AB1256" s="22"/>
      <c r="AC1256" s="41"/>
      <c r="AD1256" s="22"/>
    </row>
    <row r="1257" spans="18:30" x14ac:dyDescent="0.25">
      <c r="R1257" s="22"/>
      <c r="S1257" s="22"/>
      <c r="T1257" s="331"/>
      <c r="U1257" s="22"/>
      <c r="V1257" s="22"/>
      <c r="W1257" s="22"/>
      <c r="X1257" s="22"/>
      <c r="Y1257" s="22"/>
      <c r="Z1257" s="22"/>
      <c r="AA1257" s="22"/>
      <c r="AB1257" s="22"/>
      <c r="AC1257" s="41"/>
      <c r="AD1257" s="22"/>
    </row>
    <row r="1258" spans="18:30" x14ac:dyDescent="0.25">
      <c r="R1258" s="22"/>
      <c r="S1258" s="22"/>
      <c r="T1258" s="331"/>
      <c r="U1258" s="22"/>
      <c r="V1258" s="22"/>
      <c r="W1258" s="22"/>
      <c r="X1258" s="22"/>
      <c r="Y1258" s="22"/>
      <c r="Z1258" s="22"/>
      <c r="AA1258" s="22"/>
      <c r="AB1258" s="22"/>
      <c r="AC1258" s="41"/>
      <c r="AD1258" s="22"/>
    </row>
    <row r="1259" spans="18:30" x14ac:dyDescent="0.25">
      <c r="R1259" s="22"/>
      <c r="S1259" s="22"/>
      <c r="T1259" s="331"/>
      <c r="U1259" s="22"/>
      <c r="V1259" s="22"/>
      <c r="W1259" s="22"/>
      <c r="X1259" s="22"/>
      <c r="Y1259" s="22"/>
      <c r="Z1259" s="22"/>
      <c r="AA1259" s="22"/>
      <c r="AB1259" s="22"/>
      <c r="AC1259" s="41"/>
      <c r="AD1259" s="22"/>
    </row>
    <row r="1260" spans="18:30" x14ac:dyDescent="0.25">
      <c r="R1260" s="22"/>
      <c r="S1260" s="22"/>
      <c r="T1260" s="331"/>
      <c r="U1260" s="22"/>
      <c r="V1260" s="22"/>
      <c r="W1260" s="22"/>
      <c r="X1260" s="22"/>
      <c r="Y1260" s="22"/>
      <c r="Z1260" s="22"/>
      <c r="AA1260" s="22"/>
      <c r="AB1260" s="22"/>
      <c r="AC1260" s="41"/>
      <c r="AD1260" s="22"/>
    </row>
    <row r="1261" spans="18:30" x14ac:dyDescent="0.25">
      <c r="R1261" s="22"/>
      <c r="S1261" s="22"/>
      <c r="T1261" s="331"/>
      <c r="U1261" s="22"/>
      <c r="V1261" s="22"/>
      <c r="W1261" s="22"/>
      <c r="X1261" s="22"/>
      <c r="Y1261" s="22"/>
      <c r="Z1261" s="22"/>
      <c r="AA1261" s="22"/>
      <c r="AB1261" s="22"/>
      <c r="AC1261" s="41"/>
      <c r="AD1261" s="22"/>
    </row>
    <row r="1262" spans="18:30" x14ac:dyDescent="0.25">
      <c r="R1262" s="22"/>
      <c r="S1262" s="22"/>
      <c r="T1262" s="331"/>
      <c r="U1262" s="22"/>
      <c r="V1262" s="22"/>
      <c r="W1262" s="22"/>
      <c r="X1262" s="22"/>
      <c r="Y1262" s="22"/>
      <c r="Z1262" s="22"/>
      <c r="AA1262" s="22"/>
      <c r="AB1262" s="22"/>
      <c r="AC1262" s="41"/>
      <c r="AD1262" s="22"/>
    </row>
    <row r="1263" spans="18:30" x14ac:dyDescent="0.25">
      <c r="R1263" s="22"/>
      <c r="S1263" s="22"/>
      <c r="T1263" s="331"/>
      <c r="U1263" s="22"/>
      <c r="V1263" s="22"/>
      <c r="W1263" s="22"/>
      <c r="X1263" s="22"/>
      <c r="Y1263" s="22"/>
      <c r="Z1263" s="22"/>
      <c r="AA1263" s="22"/>
      <c r="AB1263" s="22"/>
      <c r="AC1263" s="41"/>
      <c r="AD1263" s="22"/>
    </row>
    <row r="1264" spans="18:30" x14ac:dyDescent="0.25">
      <c r="R1264" s="22"/>
      <c r="S1264" s="22"/>
      <c r="T1264" s="331"/>
      <c r="U1264" s="22"/>
      <c r="V1264" s="22"/>
      <c r="W1264" s="22"/>
      <c r="X1264" s="22"/>
      <c r="Y1264" s="22"/>
      <c r="Z1264" s="22"/>
      <c r="AA1264" s="22"/>
      <c r="AB1264" s="22"/>
      <c r="AC1264" s="41"/>
      <c r="AD1264" s="22"/>
    </row>
    <row r="1265" spans="18:30" x14ac:dyDescent="0.25">
      <c r="R1265" s="22"/>
      <c r="S1265" s="22"/>
      <c r="T1265" s="331"/>
      <c r="U1265" s="22"/>
      <c r="V1265" s="22"/>
      <c r="W1265" s="22"/>
      <c r="X1265" s="22"/>
      <c r="Y1265" s="22"/>
      <c r="Z1265" s="22"/>
      <c r="AA1265" s="22"/>
      <c r="AB1265" s="22"/>
      <c r="AC1265" s="41"/>
      <c r="AD1265" s="22"/>
    </row>
    <row r="1266" spans="18:30" x14ac:dyDescent="0.25">
      <c r="R1266" s="22"/>
      <c r="S1266" s="22"/>
      <c r="T1266" s="331"/>
      <c r="U1266" s="22"/>
      <c r="V1266" s="22"/>
      <c r="W1266" s="22"/>
      <c r="X1266" s="22"/>
      <c r="Y1266" s="22"/>
      <c r="Z1266" s="22"/>
      <c r="AA1266" s="22"/>
      <c r="AB1266" s="22"/>
      <c r="AC1266" s="41"/>
      <c r="AD1266" s="22"/>
    </row>
    <row r="1267" spans="18:30" x14ac:dyDescent="0.25">
      <c r="R1267" s="22"/>
      <c r="S1267" s="22"/>
      <c r="T1267" s="331"/>
      <c r="U1267" s="22"/>
      <c r="V1267" s="22"/>
      <c r="W1267" s="22"/>
      <c r="X1267" s="22"/>
      <c r="Y1267" s="22"/>
      <c r="Z1267" s="22"/>
      <c r="AA1267" s="22"/>
      <c r="AB1267" s="22"/>
      <c r="AC1267" s="41"/>
      <c r="AD1267" s="22"/>
    </row>
    <row r="1268" spans="18:30" x14ac:dyDescent="0.25">
      <c r="R1268" s="22"/>
      <c r="S1268" s="22"/>
      <c r="T1268" s="331"/>
      <c r="U1268" s="22"/>
      <c r="V1268" s="22"/>
      <c r="W1268" s="22"/>
      <c r="X1268" s="22"/>
      <c r="Y1268" s="22"/>
      <c r="Z1268" s="22"/>
      <c r="AA1268" s="22"/>
      <c r="AB1268" s="22"/>
      <c r="AC1268" s="41"/>
      <c r="AD1268" s="22"/>
    </row>
    <row r="1269" spans="18:30" x14ac:dyDescent="0.25">
      <c r="R1269" s="22"/>
      <c r="S1269" s="22"/>
      <c r="T1269" s="331"/>
      <c r="U1269" s="22"/>
      <c r="V1269" s="22"/>
      <c r="W1269" s="22"/>
      <c r="X1269" s="22"/>
      <c r="Y1269" s="22"/>
      <c r="Z1269" s="22"/>
      <c r="AA1269" s="22"/>
      <c r="AB1269" s="22"/>
      <c r="AC1269" s="41"/>
      <c r="AD1269" s="22"/>
    </row>
    <row r="1270" spans="18:30" x14ac:dyDescent="0.25">
      <c r="R1270" s="22"/>
      <c r="S1270" s="22"/>
      <c r="T1270" s="331"/>
      <c r="U1270" s="22"/>
      <c r="V1270" s="22"/>
      <c r="W1270" s="22"/>
      <c r="X1270" s="22"/>
      <c r="Y1270" s="22"/>
      <c r="Z1270" s="22"/>
      <c r="AA1270" s="22"/>
      <c r="AB1270" s="22"/>
      <c r="AC1270" s="41"/>
      <c r="AD1270" s="22"/>
    </row>
    <row r="1271" spans="18:30" x14ac:dyDescent="0.25">
      <c r="R1271" s="22"/>
      <c r="S1271" s="22"/>
      <c r="T1271" s="331"/>
      <c r="U1271" s="22"/>
      <c r="V1271" s="22"/>
      <c r="W1271" s="22"/>
      <c r="X1271" s="22"/>
      <c r="Y1271" s="22"/>
      <c r="Z1271" s="22"/>
      <c r="AA1271" s="22"/>
      <c r="AB1271" s="22"/>
      <c r="AC1271" s="41"/>
      <c r="AD1271" s="22"/>
    </row>
    <row r="1272" spans="18:30" x14ac:dyDescent="0.25">
      <c r="R1272" s="22"/>
      <c r="S1272" s="22"/>
      <c r="T1272" s="331"/>
      <c r="U1272" s="22"/>
      <c r="V1272" s="22"/>
      <c r="W1272" s="22"/>
      <c r="X1272" s="22"/>
      <c r="Y1272" s="22"/>
      <c r="Z1272" s="22"/>
      <c r="AA1272" s="22"/>
      <c r="AB1272" s="22"/>
      <c r="AC1272" s="41"/>
      <c r="AD1272" s="22"/>
    </row>
    <row r="1273" spans="18:30" x14ac:dyDescent="0.25">
      <c r="R1273" s="22"/>
      <c r="S1273" s="22"/>
      <c r="T1273" s="331"/>
      <c r="U1273" s="22"/>
      <c r="V1273" s="22"/>
      <c r="W1273" s="22"/>
      <c r="X1273" s="22"/>
      <c r="Y1273" s="22"/>
      <c r="Z1273" s="22"/>
      <c r="AA1273" s="22"/>
      <c r="AB1273" s="22"/>
      <c r="AC1273" s="41"/>
      <c r="AD1273" s="22"/>
    </row>
    <row r="1274" spans="18:30" x14ac:dyDescent="0.25">
      <c r="R1274" s="22"/>
      <c r="S1274" s="22"/>
      <c r="T1274" s="331"/>
      <c r="U1274" s="22"/>
      <c r="V1274" s="22"/>
      <c r="W1274" s="22"/>
      <c r="X1274" s="22"/>
      <c r="Y1274" s="22"/>
      <c r="Z1274" s="22"/>
      <c r="AA1274" s="22"/>
      <c r="AB1274" s="22"/>
      <c r="AC1274" s="41"/>
      <c r="AD1274" s="22"/>
    </row>
    <row r="1275" spans="18:30" x14ac:dyDescent="0.25">
      <c r="R1275" s="22"/>
      <c r="S1275" s="22"/>
      <c r="T1275" s="331"/>
      <c r="U1275" s="22"/>
      <c r="V1275" s="22"/>
      <c r="W1275" s="22"/>
      <c r="X1275" s="22"/>
      <c r="Y1275" s="22"/>
      <c r="Z1275" s="22"/>
      <c r="AA1275" s="22"/>
      <c r="AB1275" s="22"/>
      <c r="AC1275" s="41"/>
      <c r="AD1275" s="22"/>
    </row>
    <row r="1276" spans="18:30" x14ac:dyDescent="0.25">
      <c r="R1276" s="22"/>
      <c r="S1276" s="22"/>
      <c r="T1276" s="331"/>
      <c r="U1276" s="22"/>
      <c r="V1276" s="22"/>
      <c r="W1276" s="22"/>
      <c r="X1276" s="22"/>
      <c r="Y1276" s="22"/>
      <c r="Z1276" s="22"/>
      <c r="AA1276" s="22"/>
      <c r="AB1276" s="22"/>
      <c r="AC1276" s="41"/>
      <c r="AD1276" s="22"/>
    </row>
    <row r="1277" spans="18:30" x14ac:dyDescent="0.25">
      <c r="R1277" s="22"/>
      <c r="S1277" s="22"/>
      <c r="T1277" s="331"/>
      <c r="U1277" s="22"/>
      <c r="V1277" s="22"/>
      <c r="W1277" s="22"/>
      <c r="X1277" s="22"/>
      <c r="Y1277" s="22"/>
      <c r="Z1277" s="22"/>
      <c r="AA1277" s="22"/>
      <c r="AB1277" s="22"/>
      <c r="AC1277" s="41"/>
      <c r="AD1277" s="22"/>
    </row>
    <row r="1278" spans="18:30" x14ac:dyDescent="0.25">
      <c r="R1278" s="22"/>
      <c r="S1278" s="22"/>
      <c r="T1278" s="331"/>
      <c r="U1278" s="22"/>
      <c r="V1278" s="22"/>
      <c r="W1278" s="22"/>
      <c r="X1278" s="22"/>
      <c r="Y1278" s="22"/>
      <c r="Z1278" s="22"/>
      <c r="AA1278" s="22"/>
      <c r="AB1278" s="22"/>
      <c r="AC1278" s="41"/>
      <c r="AD1278" s="22"/>
    </row>
    <row r="1279" spans="18:30" x14ac:dyDescent="0.25">
      <c r="R1279" s="22"/>
      <c r="S1279" s="22"/>
      <c r="T1279" s="331"/>
      <c r="U1279" s="22"/>
      <c r="V1279" s="22"/>
      <c r="W1279" s="22"/>
      <c r="X1279" s="22"/>
      <c r="Y1279" s="22"/>
      <c r="Z1279" s="22"/>
      <c r="AA1279" s="22"/>
      <c r="AB1279" s="22"/>
      <c r="AC1279" s="41"/>
      <c r="AD1279" s="22"/>
    </row>
    <row r="1280" spans="18:30" x14ac:dyDescent="0.25">
      <c r="R1280" s="22"/>
      <c r="S1280" s="22"/>
      <c r="T1280" s="331"/>
      <c r="U1280" s="22"/>
      <c r="V1280" s="22"/>
      <c r="W1280" s="22"/>
      <c r="X1280" s="22"/>
      <c r="Y1280" s="22"/>
      <c r="Z1280" s="22"/>
      <c r="AA1280" s="22"/>
      <c r="AB1280" s="22"/>
      <c r="AC1280" s="41"/>
      <c r="AD1280" s="22"/>
    </row>
    <row r="1281" spans="18:30" x14ac:dyDescent="0.25">
      <c r="R1281" s="22"/>
      <c r="S1281" s="22"/>
      <c r="T1281" s="331"/>
      <c r="U1281" s="22"/>
      <c r="V1281" s="22"/>
      <c r="W1281" s="22"/>
      <c r="X1281" s="22"/>
      <c r="Y1281" s="22"/>
      <c r="Z1281" s="22"/>
      <c r="AA1281" s="22"/>
      <c r="AB1281" s="22"/>
      <c r="AC1281" s="41"/>
      <c r="AD1281" s="22"/>
    </row>
    <row r="1282" spans="18:30" x14ac:dyDescent="0.25">
      <c r="R1282" s="22"/>
      <c r="S1282" s="22"/>
      <c r="T1282" s="331"/>
      <c r="U1282" s="22"/>
      <c r="V1282" s="22"/>
      <c r="W1282" s="22"/>
      <c r="X1282" s="22"/>
      <c r="Y1282" s="22"/>
      <c r="Z1282" s="22"/>
      <c r="AA1282" s="22"/>
      <c r="AB1282" s="22"/>
      <c r="AC1282" s="41"/>
      <c r="AD1282" s="22"/>
    </row>
    <row r="1283" spans="18:30" x14ac:dyDescent="0.25">
      <c r="R1283" s="22"/>
      <c r="S1283" s="22"/>
      <c r="T1283" s="331"/>
      <c r="U1283" s="22"/>
      <c r="V1283" s="22"/>
      <c r="W1283" s="22"/>
      <c r="X1283" s="22"/>
      <c r="Y1283" s="22"/>
      <c r="Z1283" s="22"/>
      <c r="AA1283" s="22"/>
      <c r="AB1283" s="22"/>
      <c r="AC1283" s="41"/>
      <c r="AD1283" s="22"/>
    </row>
    <row r="1284" spans="18:30" x14ac:dyDescent="0.25">
      <c r="R1284" s="22"/>
      <c r="S1284" s="22"/>
      <c r="T1284" s="331"/>
      <c r="U1284" s="22"/>
      <c r="V1284" s="22"/>
      <c r="W1284" s="22"/>
      <c r="X1284" s="22"/>
      <c r="Y1284" s="22"/>
      <c r="Z1284" s="22"/>
      <c r="AA1284" s="22"/>
      <c r="AB1284" s="22"/>
      <c r="AC1284" s="41"/>
      <c r="AD1284" s="22"/>
    </row>
    <row r="1285" spans="18:30" x14ac:dyDescent="0.25">
      <c r="R1285" s="22"/>
      <c r="S1285" s="22"/>
      <c r="T1285" s="331"/>
      <c r="U1285" s="22"/>
      <c r="V1285" s="22"/>
      <c r="W1285" s="22"/>
      <c r="X1285" s="22"/>
      <c r="Y1285" s="22"/>
      <c r="Z1285" s="22"/>
      <c r="AA1285" s="22"/>
      <c r="AB1285" s="22"/>
      <c r="AC1285" s="41"/>
      <c r="AD1285" s="22"/>
    </row>
    <row r="1286" spans="18:30" x14ac:dyDescent="0.25">
      <c r="R1286" s="22"/>
      <c r="S1286" s="22"/>
      <c r="T1286" s="331"/>
      <c r="U1286" s="22"/>
      <c r="V1286" s="22"/>
      <c r="W1286" s="22"/>
      <c r="X1286" s="22"/>
      <c r="Y1286" s="22"/>
      <c r="Z1286" s="22"/>
      <c r="AA1286" s="22"/>
      <c r="AB1286" s="22"/>
      <c r="AC1286" s="41"/>
      <c r="AD1286" s="22"/>
    </row>
    <row r="1287" spans="18:30" x14ac:dyDescent="0.25">
      <c r="R1287" s="22"/>
      <c r="S1287" s="22"/>
      <c r="T1287" s="331"/>
      <c r="U1287" s="22"/>
      <c r="V1287" s="22"/>
      <c r="W1287" s="22"/>
      <c r="X1287" s="22"/>
      <c r="Y1287" s="22"/>
      <c r="Z1287" s="22"/>
      <c r="AA1287" s="22"/>
      <c r="AB1287" s="22"/>
      <c r="AC1287" s="41"/>
      <c r="AD1287" s="22"/>
    </row>
    <row r="1288" spans="18:30" x14ac:dyDescent="0.25">
      <c r="R1288" s="22"/>
      <c r="S1288" s="22"/>
      <c r="T1288" s="331"/>
      <c r="U1288" s="22"/>
      <c r="V1288" s="22"/>
      <c r="W1288" s="22"/>
      <c r="X1288" s="22"/>
      <c r="Y1288" s="22"/>
      <c r="Z1288" s="22"/>
      <c r="AA1288" s="22"/>
      <c r="AB1288" s="22"/>
      <c r="AC1288" s="41"/>
      <c r="AD1288" s="22"/>
    </row>
    <row r="1289" spans="18:30" x14ac:dyDescent="0.25">
      <c r="R1289" s="22"/>
      <c r="S1289" s="22"/>
      <c r="T1289" s="331"/>
      <c r="U1289" s="22"/>
      <c r="V1289" s="22"/>
      <c r="W1289" s="22"/>
      <c r="X1289" s="22"/>
      <c r="Y1289" s="22"/>
      <c r="Z1289" s="22"/>
      <c r="AA1289" s="22"/>
      <c r="AB1289" s="22"/>
      <c r="AC1289" s="41"/>
      <c r="AD1289" s="22"/>
    </row>
    <row r="1290" spans="18:30" x14ac:dyDescent="0.25">
      <c r="R1290" s="22"/>
      <c r="S1290" s="22"/>
      <c r="T1290" s="331"/>
      <c r="U1290" s="22"/>
      <c r="V1290" s="22"/>
      <c r="W1290" s="22"/>
      <c r="X1290" s="22"/>
      <c r="Y1290" s="22"/>
      <c r="Z1290" s="22"/>
      <c r="AA1290" s="22"/>
      <c r="AB1290" s="22"/>
      <c r="AC1290" s="41"/>
      <c r="AD1290" s="22"/>
    </row>
    <row r="1291" spans="18:30" x14ac:dyDescent="0.25">
      <c r="R1291" s="22"/>
      <c r="S1291" s="22"/>
      <c r="T1291" s="331"/>
      <c r="U1291" s="22"/>
      <c r="V1291" s="22"/>
      <c r="W1291" s="22"/>
      <c r="X1291" s="22"/>
      <c r="Y1291" s="22"/>
      <c r="Z1291" s="22"/>
      <c r="AA1291" s="22"/>
      <c r="AB1291" s="22"/>
      <c r="AC1291" s="41"/>
      <c r="AD1291" s="22"/>
    </row>
    <row r="1292" spans="18:30" x14ac:dyDescent="0.25">
      <c r="R1292" s="22"/>
      <c r="S1292" s="22"/>
      <c r="T1292" s="331"/>
      <c r="U1292" s="22"/>
      <c r="V1292" s="22"/>
      <c r="W1292" s="22"/>
      <c r="X1292" s="22"/>
      <c r="Y1292" s="22"/>
      <c r="Z1292" s="22"/>
      <c r="AA1292" s="22"/>
      <c r="AB1292" s="22"/>
      <c r="AC1292" s="41"/>
      <c r="AD1292" s="22"/>
    </row>
    <row r="1293" spans="18:30" x14ac:dyDescent="0.25">
      <c r="R1293" s="22"/>
      <c r="S1293" s="22"/>
      <c r="T1293" s="331"/>
      <c r="U1293" s="22"/>
      <c r="V1293" s="22"/>
      <c r="W1293" s="22"/>
      <c r="X1293" s="22"/>
      <c r="Y1293" s="22"/>
      <c r="Z1293" s="22"/>
      <c r="AA1293" s="22"/>
      <c r="AB1293" s="22"/>
      <c r="AC1293" s="41"/>
      <c r="AD1293" s="22"/>
    </row>
    <row r="1294" spans="18:30" x14ac:dyDescent="0.25">
      <c r="R1294" s="22"/>
      <c r="S1294" s="22"/>
      <c r="T1294" s="331"/>
      <c r="U1294" s="22"/>
      <c r="V1294" s="22"/>
      <c r="W1294" s="22"/>
      <c r="X1294" s="22"/>
      <c r="Y1294" s="22"/>
      <c r="Z1294" s="22"/>
      <c r="AA1294" s="22"/>
      <c r="AB1294" s="22"/>
      <c r="AC1294" s="41"/>
      <c r="AD1294" s="22"/>
    </row>
    <row r="1295" spans="18:30" x14ac:dyDescent="0.25">
      <c r="R1295" s="22"/>
      <c r="S1295" s="22"/>
      <c r="T1295" s="331"/>
      <c r="U1295" s="22"/>
      <c r="V1295" s="22"/>
      <c r="W1295" s="22"/>
      <c r="X1295" s="22"/>
      <c r="Y1295" s="22"/>
      <c r="Z1295" s="22"/>
      <c r="AA1295" s="22"/>
      <c r="AB1295" s="22"/>
      <c r="AC1295" s="41"/>
      <c r="AD1295" s="22"/>
    </row>
    <row r="1296" spans="18:30" x14ac:dyDescent="0.25">
      <c r="R1296" s="22"/>
      <c r="S1296" s="22"/>
      <c r="T1296" s="331"/>
      <c r="U1296" s="22"/>
      <c r="V1296" s="22"/>
      <c r="W1296" s="22"/>
      <c r="X1296" s="22"/>
      <c r="Y1296" s="22"/>
      <c r="Z1296" s="22"/>
      <c r="AA1296" s="22"/>
      <c r="AB1296" s="22"/>
      <c r="AC1296" s="41"/>
      <c r="AD1296" s="22"/>
    </row>
    <row r="1297" spans="18:30" x14ac:dyDescent="0.25">
      <c r="R1297" s="22"/>
      <c r="S1297" s="22"/>
      <c r="T1297" s="331"/>
      <c r="U1297" s="22"/>
      <c r="V1297" s="22"/>
      <c r="W1297" s="22"/>
      <c r="X1297" s="22"/>
      <c r="Y1297" s="22"/>
      <c r="Z1297" s="22"/>
      <c r="AA1297" s="22"/>
      <c r="AB1297" s="22"/>
      <c r="AC1297" s="41"/>
      <c r="AD1297" s="22"/>
    </row>
    <row r="1298" spans="18:30" x14ac:dyDescent="0.25">
      <c r="R1298" s="22"/>
      <c r="S1298" s="22"/>
      <c r="T1298" s="331"/>
      <c r="U1298" s="22"/>
      <c r="V1298" s="22"/>
      <c r="W1298" s="22"/>
      <c r="X1298" s="22"/>
      <c r="Y1298" s="22"/>
      <c r="Z1298" s="22"/>
      <c r="AA1298" s="22"/>
      <c r="AB1298" s="22"/>
      <c r="AC1298" s="41"/>
      <c r="AD1298" s="22"/>
    </row>
    <row r="1299" spans="18:30" x14ac:dyDescent="0.25">
      <c r="R1299" s="22"/>
      <c r="S1299" s="22"/>
      <c r="T1299" s="331"/>
      <c r="U1299" s="22"/>
      <c r="V1299" s="22"/>
      <c r="W1299" s="22"/>
      <c r="X1299" s="22"/>
      <c r="Y1299" s="22"/>
      <c r="Z1299" s="22"/>
      <c r="AA1299" s="22"/>
      <c r="AB1299" s="22"/>
      <c r="AC1299" s="41"/>
      <c r="AD1299" s="22"/>
    </row>
    <row r="1300" spans="18:30" x14ac:dyDescent="0.25">
      <c r="R1300" s="22"/>
      <c r="S1300" s="22"/>
      <c r="T1300" s="331"/>
      <c r="U1300" s="22"/>
      <c r="V1300" s="22"/>
      <c r="W1300" s="22"/>
      <c r="X1300" s="22"/>
      <c r="Y1300" s="22"/>
      <c r="Z1300" s="22"/>
      <c r="AA1300" s="22"/>
      <c r="AB1300" s="22"/>
      <c r="AC1300" s="41"/>
      <c r="AD1300" s="22"/>
    </row>
    <row r="1301" spans="18:30" x14ac:dyDescent="0.25">
      <c r="R1301" s="22"/>
      <c r="S1301" s="22"/>
      <c r="T1301" s="331"/>
      <c r="U1301" s="22"/>
      <c r="V1301" s="22"/>
      <c r="W1301" s="22"/>
      <c r="X1301" s="22"/>
      <c r="Y1301" s="22"/>
      <c r="Z1301" s="22"/>
      <c r="AA1301" s="22"/>
      <c r="AB1301" s="22"/>
      <c r="AC1301" s="41"/>
      <c r="AD1301" s="22"/>
    </row>
    <row r="1302" spans="18:30" x14ac:dyDescent="0.25">
      <c r="R1302" s="22"/>
      <c r="S1302" s="22"/>
      <c r="T1302" s="331"/>
      <c r="U1302" s="22"/>
      <c r="V1302" s="22"/>
      <c r="W1302" s="22"/>
      <c r="X1302" s="22"/>
      <c r="Y1302" s="22"/>
      <c r="Z1302" s="22"/>
      <c r="AA1302" s="22"/>
      <c r="AB1302" s="22"/>
      <c r="AC1302" s="41"/>
      <c r="AD1302" s="22"/>
    </row>
    <row r="1303" spans="18:30" x14ac:dyDescent="0.25">
      <c r="R1303" s="22"/>
      <c r="S1303" s="22"/>
      <c r="T1303" s="331"/>
      <c r="U1303" s="22"/>
      <c r="V1303" s="22"/>
      <c r="W1303" s="22"/>
      <c r="X1303" s="22"/>
      <c r="Y1303" s="22"/>
      <c r="Z1303" s="22"/>
      <c r="AA1303" s="22"/>
      <c r="AB1303" s="22"/>
      <c r="AC1303" s="41"/>
      <c r="AD1303" s="22"/>
    </row>
    <row r="1304" spans="18:30" x14ac:dyDescent="0.25">
      <c r="R1304" s="22"/>
      <c r="S1304" s="22"/>
      <c r="T1304" s="331"/>
      <c r="U1304" s="22"/>
      <c r="V1304" s="22"/>
      <c r="W1304" s="22"/>
      <c r="X1304" s="22"/>
      <c r="Y1304" s="22"/>
      <c r="Z1304" s="22"/>
      <c r="AA1304" s="22"/>
      <c r="AB1304" s="22"/>
      <c r="AC1304" s="41"/>
      <c r="AD1304" s="22"/>
    </row>
    <row r="1305" spans="18:30" x14ac:dyDescent="0.25">
      <c r="R1305" s="22"/>
      <c r="S1305" s="22"/>
      <c r="T1305" s="331"/>
      <c r="U1305" s="22"/>
      <c r="V1305" s="22"/>
      <c r="W1305" s="22"/>
      <c r="X1305" s="22"/>
      <c r="Y1305" s="22"/>
      <c r="Z1305" s="22"/>
      <c r="AA1305" s="22"/>
      <c r="AB1305" s="22"/>
      <c r="AC1305" s="41"/>
      <c r="AD1305" s="22"/>
    </row>
    <row r="1306" spans="18:30" x14ac:dyDescent="0.25">
      <c r="R1306" s="22"/>
      <c r="S1306" s="22"/>
      <c r="T1306" s="331"/>
      <c r="U1306" s="22"/>
      <c r="V1306" s="22"/>
      <c r="W1306" s="22"/>
      <c r="X1306" s="22"/>
      <c r="Y1306" s="22"/>
      <c r="Z1306" s="22"/>
      <c r="AA1306" s="22"/>
      <c r="AB1306" s="22"/>
      <c r="AC1306" s="41"/>
      <c r="AD1306" s="22"/>
    </row>
    <row r="1307" spans="18:30" x14ac:dyDescent="0.25">
      <c r="R1307" s="22"/>
      <c r="S1307" s="22"/>
      <c r="T1307" s="331"/>
      <c r="U1307" s="22"/>
      <c r="V1307" s="22"/>
      <c r="W1307" s="22"/>
      <c r="X1307" s="22"/>
      <c r="Y1307" s="22"/>
      <c r="Z1307" s="22"/>
      <c r="AA1307" s="22"/>
      <c r="AB1307" s="22"/>
      <c r="AC1307" s="41"/>
      <c r="AD1307" s="22"/>
    </row>
    <row r="1308" spans="18:30" x14ac:dyDescent="0.25">
      <c r="R1308" s="22"/>
      <c r="S1308" s="22"/>
      <c r="T1308" s="331"/>
      <c r="U1308" s="22"/>
      <c r="V1308" s="22"/>
      <c r="W1308" s="22"/>
      <c r="X1308" s="22"/>
      <c r="Y1308" s="22"/>
      <c r="Z1308" s="22"/>
      <c r="AA1308" s="22"/>
      <c r="AB1308" s="22"/>
      <c r="AC1308" s="41"/>
      <c r="AD1308" s="22"/>
    </row>
    <row r="1309" spans="18:30" x14ac:dyDescent="0.25">
      <c r="R1309" s="22"/>
      <c r="S1309" s="22"/>
      <c r="T1309" s="331"/>
      <c r="U1309" s="22"/>
      <c r="V1309" s="22"/>
      <c r="W1309" s="22"/>
      <c r="X1309" s="22"/>
      <c r="Y1309" s="22"/>
      <c r="Z1309" s="22"/>
      <c r="AA1309" s="22"/>
      <c r="AB1309" s="22"/>
      <c r="AC1309" s="41"/>
      <c r="AD1309" s="22"/>
    </row>
    <row r="1310" spans="18:30" x14ac:dyDescent="0.25">
      <c r="R1310" s="22"/>
      <c r="S1310" s="22"/>
      <c r="T1310" s="331"/>
      <c r="U1310" s="22"/>
      <c r="V1310" s="22"/>
      <c r="W1310" s="22"/>
      <c r="X1310" s="22"/>
      <c r="Y1310" s="22"/>
      <c r="Z1310" s="22"/>
      <c r="AA1310" s="22"/>
      <c r="AB1310" s="22"/>
      <c r="AC1310" s="41"/>
      <c r="AD1310" s="22"/>
    </row>
    <row r="1311" spans="18:30" x14ac:dyDescent="0.25">
      <c r="R1311" s="22"/>
      <c r="S1311" s="22"/>
      <c r="T1311" s="331"/>
      <c r="U1311" s="22"/>
      <c r="V1311" s="22"/>
      <c r="W1311" s="22"/>
      <c r="X1311" s="22"/>
      <c r="Y1311" s="22"/>
      <c r="Z1311" s="22"/>
      <c r="AA1311" s="22"/>
      <c r="AB1311" s="22"/>
      <c r="AC1311" s="41"/>
      <c r="AD1311" s="22"/>
    </row>
    <row r="1312" spans="18:30" x14ac:dyDescent="0.25">
      <c r="R1312" s="22"/>
      <c r="S1312" s="22"/>
      <c r="T1312" s="331"/>
      <c r="U1312" s="22"/>
      <c r="V1312" s="22"/>
      <c r="W1312" s="22"/>
      <c r="X1312" s="22"/>
      <c r="Y1312" s="22"/>
      <c r="Z1312" s="22"/>
      <c r="AA1312" s="22"/>
      <c r="AB1312" s="22"/>
      <c r="AC1312" s="41"/>
      <c r="AD1312" s="22"/>
    </row>
    <row r="1313" spans="18:30" x14ac:dyDescent="0.25">
      <c r="R1313" s="22"/>
      <c r="S1313" s="22"/>
      <c r="T1313" s="331"/>
      <c r="U1313" s="22"/>
      <c r="V1313" s="22"/>
      <c r="W1313" s="22"/>
      <c r="X1313" s="22"/>
      <c r="Y1313" s="22"/>
      <c r="Z1313" s="22"/>
      <c r="AA1313" s="22"/>
      <c r="AB1313" s="22"/>
      <c r="AC1313" s="41"/>
      <c r="AD1313" s="22"/>
    </row>
    <row r="1314" spans="18:30" x14ac:dyDescent="0.25">
      <c r="R1314" s="22"/>
      <c r="S1314" s="22"/>
      <c r="T1314" s="331"/>
      <c r="U1314" s="22"/>
      <c r="V1314" s="22"/>
      <c r="W1314" s="22"/>
      <c r="X1314" s="22"/>
      <c r="Y1314" s="22"/>
      <c r="Z1314" s="22"/>
      <c r="AA1314" s="22"/>
      <c r="AB1314" s="22"/>
      <c r="AC1314" s="41"/>
      <c r="AD1314" s="22"/>
    </row>
    <row r="1315" spans="18:30" x14ac:dyDescent="0.25">
      <c r="R1315" s="22"/>
      <c r="S1315" s="22"/>
      <c r="T1315" s="331"/>
      <c r="U1315" s="22"/>
      <c r="V1315" s="22"/>
      <c r="W1315" s="22"/>
      <c r="X1315" s="22"/>
      <c r="Y1315" s="22"/>
      <c r="Z1315" s="22"/>
      <c r="AA1315" s="22"/>
      <c r="AB1315" s="22"/>
      <c r="AC1315" s="41"/>
      <c r="AD1315" s="22"/>
    </row>
    <row r="1316" spans="18:30" x14ac:dyDescent="0.25">
      <c r="R1316" s="22"/>
      <c r="S1316" s="22"/>
      <c r="T1316" s="331"/>
      <c r="U1316" s="22"/>
      <c r="V1316" s="22"/>
      <c r="W1316" s="22"/>
      <c r="X1316" s="22"/>
      <c r="Y1316" s="22"/>
      <c r="Z1316" s="22"/>
      <c r="AA1316" s="22"/>
      <c r="AB1316" s="22"/>
      <c r="AC1316" s="41"/>
      <c r="AD1316" s="22"/>
    </row>
    <row r="1317" spans="18:30" x14ac:dyDescent="0.25">
      <c r="R1317" s="22"/>
      <c r="S1317" s="22"/>
      <c r="T1317" s="331"/>
      <c r="U1317" s="22"/>
      <c r="V1317" s="22"/>
      <c r="W1317" s="22"/>
      <c r="X1317" s="22"/>
      <c r="Y1317" s="22"/>
      <c r="Z1317" s="22"/>
      <c r="AA1317" s="22"/>
      <c r="AB1317" s="22"/>
      <c r="AC1317" s="41"/>
      <c r="AD1317" s="22"/>
    </row>
    <row r="1318" spans="18:30" x14ac:dyDescent="0.25">
      <c r="R1318" s="22"/>
      <c r="S1318" s="22"/>
      <c r="T1318" s="331"/>
      <c r="U1318" s="22"/>
      <c r="V1318" s="22"/>
      <c r="W1318" s="22"/>
      <c r="X1318" s="22"/>
      <c r="Y1318" s="22"/>
      <c r="Z1318" s="22"/>
      <c r="AA1318" s="22"/>
      <c r="AB1318" s="22"/>
      <c r="AC1318" s="41"/>
      <c r="AD1318" s="22"/>
    </row>
    <row r="1319" spans="18:30" x14ac:dyDescent="0.25">
      <c r="R1319" s="22"/>
      <c r="S1319" s="22"/>
      <c r="T1319" s="331"/>
      <c r="U1319" s="22"/>
      <c r="V1319" s="22"/>
      <c r="W1319" s="22"/>
      <c r="X1319" s="22"/>
      <c r="Y1319" s="22"/>
      <c r="Z1319" s="22"/>
      <c r="AA1319" s="22"/>
      <c r="AB1319" s="22"/>
      <c r="AC1319" s="41"/>
      <c r="AD1319" s="22"/>
    </row>
    <row r="1320" spans="18:30" x14ac:dyDescent="0.25">
      <c r="R1320" s="22"/>
      <c r="S1320" s="22"/>
      <c r="T1320" s="331"/>
      <c r="U1320" s="22"/>
      <c r="V1320" s="22"/>
      <c r="W1320" s="22"/>
      <c r="X1320" s="22"/>
      <c r="Y1320" s="22"/>
      <c r="Z1320" s="22"/>
      <c r="AA1320" s="22"/>
      <c r="AB1320" s="22"/>
      <c r="AC1320" s="41"/>
      <c r="AD1320" s="22"/>
    </row>
    <row r="1321" spans="18:30" x14ac:dyDescent="0.25">
      <c r="R1321" s="22"/>
      <c r="S1321" s="22"/>
      <c r="T1321" s="331"/>
      <c r="U1321" s="22"/>
      <c r="V1321" s="22"/>
      <c r="W1321" s="22"/>
      <c r="X1321" s="22"/>
      <c r="Y1321" s="22"/>
      <c r="Z1321" s="22"/>
      <c r="AA1321" s="22"/>
      <c r="AB1321" s="22"/>
      <c r="AC1321" s="41"/>
      <c r="AD1321" s="22"/>
    </row>
    <row r="1322" spans="18:30" x14ac:dyDescent="0.25">
      <c r="R1322" s="22"/>
      <c r="S1322" s="22"/>
      <c r="T1322" s="331"/>
      <c r="U1322" s="22"/>
      <c r="V1322" s="22"/>
      <c r="W1322" s="22"/>
      <c r="X1322" s="22"/>
      <c r="Y1322" s="22"/>
      <c r="Z1322" s="22"/>
      <c r="AA1322" s="22"/>
      <c r="AB1322" s="22"/>
      <c r="AC1322" s="41"/>
      <c r="AD1322" s="22"/>
    </row>
    <row r="1323" spans="18:30" x14ac:dyDescent="0.25">
      <c r="R1323" s="22"/>
      <c r="S1323" s="22"/>
      <c r="T1323" s="331"/>
      <c r="U1323" s="22"/>
      <c r="V1323" s="22"/>
      <c r="W1323" s="22"/>
      <c r="X1323" s="22"/>
      <c r="Y1323" s="22"/>
      <c r="Z1323" s="22"/>
      <c r="AA1323" s="22"/>
      <c r="AB1323" s="22"/>
      <c r="AC1323" s="41"/>
      <c r="AD1323" s="22"/>
    </row>
    <row r="1324" spans="18:30" x14ac:dyDescent="0.25">
      <c r="R1324" s="22"/>
      <c r="S1324" s="22"/>
      <c r="T1324" s="331"/>
      <c r="U1324" s="22"/>
      <c r="V1324" s="22"/>
      <c r="W1324" s="22"/>
      <c r="X1324" s="22"/>
      <c r="Y1324" s="22"/>
      <c r="Z1324" s="22"/>
      <c r="AA1324" s="22"/>
      <c r="AB1324" s="22"/>
      <c r="AC1324" s="41"/>
      <c r="AD1324" s="22"/>
    </row>
    <row r="1325" spans="18:30" x14ac:dyDescent="0.25">
      <c r="R1325" s="22"/>
      <c r="S1325" s="22"/>
      <c r="T1325" s="331"/>
      <c r="U1325" s="22"/>
      <c r="V1325" s="22"/>
      <c r="W1325" s="22"/>
      <c r="X1325" s="22"/>
      <c r="Y1325" s="22"/>
      <c r="Z1325" s="22"/>
      <c r="AA1325" s="22"/>
      <c r="AB1325" s="22"/>
      <c r="AC1325" s="41"/>
      <c r="AD1325" s="22"/>
    </row>
    <row r="1326" spans="18:30" x14ac:dyDescent="0.25">
      <c r="R1326" s="22"/>
      <c r="S1326" s="22"/>
      <c r="T1326" s="331"/>
      <c r="U1326" s="22"/>
      <c r="V1326" s="22"/>
      <c r="W1326" s="22"/>
      <c r="X1326" s="22"/>
      <c r="Y1326" s="22"/>
      <c r="Z1326" s="22"/>
      <c r="AA1326" s="22"/>
      <c r="AB1326" s="22"/>
      <c r="AC1326" s="41"/>
      <c r="AD1326" s="22"/>
    </row>
    <row r="1327" spans="18:30" x14ac:dyDescent="0.25">
      <c r="R1327" s="22"/>
      <c r="S1327" s="22"/>
      <c r="T1327" s="331"/>
      <c r="U1327" s="22"/>
      <c r="V1327" s="22"/>
      <c r="W1327" s="22"/>
      <c r="X1327" s="22"/>
      <c r="Y1327" s="22"/>
      <c r="Z1327" s="22"/>
      <c r="AA1327" s="22"/>
      <c r="AB1327" s="22"/>
      <c r="AC1327" s="41"/>
      <c r="AD1327" s="22"/>
    </row>
    <row r="1328" spans="18:30" x14ac:dyDescent="0.25">
      <c r="R1328" s="22"/>
      <c r="S1328" s="22"/>
      <c r="T1328" s="331"/>
      <c r="U1328" s="22"/>
      <c r="V1328" s="22"/>
      <c r="W1328" s="22"/>
      <c r="X1328" s="22"/>
      <c r="Y1328" s="22"/>
      <c r="Z1328" s="22"/>
      <c r="AA1328" s="22"/>
      <c r="AB1328" s="22"/>
      <c r="AC1328" s="41"/>
      <c r="AD1328" s="22"/>
    </row>
    <row r="1329" spans="18:30" x14ac:dyDescent="0.25">
      <c r="R1329" s="22"/>
      <c r="S1329" s="22"/>
      <c r="T1329" s="331"/>
      <c r="U1329" s="22"/>
      <c r="V1329" s="22"/>
      <c r="W1329" s="22"/>
      <c r="X1329" s="22"/>
      <c r="Y1329" s="22"/>
      <c r="Z1329" s="22"/>
      <c r="AA1329" s="22"/>
      <c r="AB1329" s="22"/>
      <c r="AC1329" s="41"/>
      <c r="AD1329" s="22"/>
    </row>
    <row r="1330" spans="18:30" x14ac:dyDescent="0.25">
      <c r="R1330" s="22"/>
      <c r="S1330" s="22"/>
      <c r="T1330" s="331"/>
      <c r="U1330" s="22"/>
      <c r="V1330" s="22"/>
      <c r="W1330" s="22"/>
      <c r="X1330" s="22"/>
      <c r="Y1330" s="22"/>
      <c r="Z1330" s="22"/>
      <c r="AA1330" s="22"/>
      <c r="AB1330" s="22"/>
      <c r="AC1330" s="41"/>
      <c r="AD1330" s="22"/>
    </row>
    <row r="1331" spans="18:30" x14ac:dyDescent="0.25">
      <c r="R1331" s="22"/>
      <c r="S1331" s="22"/>
      <c r="T1331" s="331"/>
      <c r="U1331" s="22"/>
      <c r="V1331" s="22"/>
      <c r="W1331" s="22"/>
      <c r="X1331" s="22"/>
      <c r="Y1331" s="22"/>
      <c r="Z1331" s="22"/>
      <c r="AA1331" s="22"/>
      <c r="AB1331" s="22"/>
      <c r="AC1331" s="41"/>
      <c r="AD1331" s="22"/>
    </row>
    <row r="1332" spans="18:30" x14ac:dyDescent="0.25">
      <c r="R1332" s="22"/>
      <c r="S1332" s="22"/>
      <c r="T1332" s="331"/>
      <c r="U1332" s="22"/>
      <c r="V1332" s="22"/>
      <c r="W1332" s="22"/>
      <c r="X1332" s="22"/>
      <c r="Y1332" s="22"/>
      <c r="Z1332" s="22"/>
      <c r="AA1332" s="22"/>
      <c r="AB1332" s="22"/>
      <c r="AC1332" s="41"/>
      <c r="AD1332" s="22"/>
    </row>
    <row r="1333" spans="18:30" x14ac:dyDescent="0.25">
      <c r="R1333" s="22"/>
      <c r="S1333" s="22"/>
      <c r="T1333" s="331"/>
      <c r="U1333" s="22"/>
      <c r="V1333" s="22"/>
      <c r="W1333" s="22"/>
      <c r="X1333" s="22"/>
      <c r="Y1333" s="22"/>
      <c r="Z1333" s="22"/>
      <c r="AA1333" s="22"/>
      <c r="AB1333" s="22"/>
      <c r="AC1333" s="41"/>
      <c r="AD1333" s="22"/>
    </row>
    <row r="1334" spans="18:30" x14ac:dyDescent="0.25">
      <c r="R1334" s="22"/>
      <c r="S1334" s="22"/>
      <c r="T1334" s="331"/>
      <c r="U1334" s="22"/>
      <c r="V1334" s="22"/>
      <c r="W1334" s="22"/>
      <c r="X1334" s="22"/>
      <c r="Y1334" s="22"/>
      <c r="Z1334" s="22"/>
      <c r="AA1334" s="22"/>
      <c r="AB1334" s="22"/>
      <c r="AC1334" s="41"/>
      <c r="AD1334" s="22"/>
    </row>
    <row r="1335" spans="18:30" x14ac:dyDescent="0.25">
      <c r="R1335" s="22"/>
      <c r="S1335" s="22"/>
      <c r="T1335" s="331"/>
      <c r="U1335" s="22"/>
      <c r="V1335" s="22"/>
      <c r="W1335" s="22"/>
      <c r="X1335" s="22"/>
      <c r="Y1335" s="22"/>
      <c r="Z1335" s="22"/>
      <c r="AA1335" s="22"/>
      <c r="AB1335" s="22"/>
      <c r="AC1335" s="41"/>
      <c r="AD1335" s="22"/>
    </row>
    <row r="1336" spans="18:30" x14ac:dyDescent="0.25">
      <c r="R1336" s="22"/>
      <c r="S1336" s="22"/>
      <c r="T1336" s="331"/>
      <c r="U1336" s="22"/>
      <c r="V1336" s="22"/>
      <c r="W1336" s="22"/>
      <c r="X1336" s="22"/>
      <c r="Y1336" s="22"/>
      <c r="Z1336" s="22"/>
      <c r="AA1336" s="22"/>
      <c r="AB1336" s="22"/>
      <c r="AC1336" s="41"/>
      <c r="AD1336" s="22"/>
    </row>
    <row r="1337" spans="18:30" x14ac:dyDescent="0.25">
      <c r="R1337" s="22"/>
      <c r="S1337" s="22"/>
      <c r="T1337" s="331"/>
      <c r="U1337" s="22"/>
      <c r="V1337" s="22"/>
      <c r="W1337" s="22"/>
      <c r="X1337" s="22"/>
      <c r="Y1337" s="22"/>
      <c r="Z1337" s="22"/>
      <c r="AA1337" s="22"/>
      <c r="AB1337" s="22"/>
      <c r="AC1337" s="41"/>
      <c r="AD1337" s="22"/>
    </row>
    <row r="1338" spans="18:30" x14ac:dyDescent="0.25">
      <c r="R1338" s="22"/>
      <c r="S1338" s="22"/>
      <c r="T1338" s="331"/>
      <c r="U1338" s="22"/>
      <c r="V1338" s="22"/>
      <c r="W1338" s="22"/>
      <c r="X1338" s="22"/>
      <c r="Y1338" s="22"/>
      <c r="Z1338" s="22"/>
      <c r="AA1338" s="22"/>
      <c r="AB1338" s="22"/>
      <c r="AC1338" s="41"/>
      <c r="AD1338" s="22"/>
    </row>
    <row r="1339" spans="18:30" x14ac:dyDescent="0.25">
      <c r="R1339" s="22"/>
      <c r="S1339" s="22"/>
      <c r="T1339" s="331"/>
      <c r="U1339" s="22"/>
      <c r="V1339" s="22"/>
      <c r="W1339" s="22"/>
      <c r="X1339" s="22"/>
      <c r="Y1339" s="22"/>
      <c r="Z1339" s="22"/>
      <c r="AA1339" s="22"/>
      <c r="AB1339" s="22"/>
      <c r="AC1339" s="41"/>
      <c r="AD1339" s="22"/>
    </row>
    <row r="1340" spans="18:30" x14ac:dyDescent="0.25">
      <c r="R1340" s="22"/>
      <c r="S1340" s="22"/>
      <c r="T1340" s="331"/>
      <c r="U1340" s="22"/>
      <c r="V1340" s="22"/>
      <c r="W1340" s="22"/>
      <c r="X1340" s="22"/>
      <c r="Y1340" s="22"/>
      <c r="Z1340" s="22"/>
      <c r="AA1340" s="22"/>
      <c r="AB1340" s="22"/>
      <c r="AC1340" s="41"/>
      <c r="AD1340" s="22"/>
    </row>
    <row r="1341" spans="18:30" x14ac:dyDescent="0.25">
      <c r="R1341" s="22"/>
      <c r="S1341" s="22"/>
      <c r="T1341" s="331"/>
      <c r="U1341" s="22"/>
      <c r="V1341" s="22"/>
      <c r="W1341" s="22"/>
      <c r="X1341" s="22"/>
      <c r="Y1341" s="22"/>
      <c r="Z1341" s="22"/>
      <c r="AA1341" s="22"/>
      <c r="AB1341" s="22"/>
      <c r="AC1341" s="41"/>
      <c r="AD1341" s="22"/>
    </row>
    <row r="1342" spans="18:30" x14ac:dyDescent="0.25">
      <c r="R1342" s="22"/>
      <c r="S1342" s="22"/>
      <c r="T1342" s="331"/>
      <c r="U1342" s="22"/>
      <c r="V1342" s="22"/>
      <c r="W1342" s="22"/>
      <c r="X1342" s="22"/>
      <c r="Y1342" s="22"/>
      <c r="Z1342" s="22"/>
      <c r="AA1342" s="22"/>
      <c r="AB1342" s="22"/>
      <c r="AC1342" s="41"/>
      <c r="AD1342" s="22"/>
    </row>
    <row r="1343" spans="18:30" x14ac:dyDescent="0.25">
      <c r="R1343" s="22"/>
      <c r="S1343" s="22"/>
      <c r="T1343" s="331"/>
      <c r="U1343" s="22"/>
      <c r="V1343" s="22"/>
      <c r="W1343" s="22"/>
      <c r="X1343" s="22"/>
      <c r="Y1343" s="22"/>
      <c r="Z1343" s="22"/>
      <c r="AA1343" s="22"/>
      <c r="AB1343" s="22"/>
      <c r="AC1343" s="41"/>
      <c r="AD1343" s="22"/>
    </row>
    <row r="1344" spans="18:30" x14ac:dyDescent="0.25">
      <c r="R1344" s="22"/>
      <c r="S1344" s="22"/>
      <c r="T1344" s="331"/>
      <c r="U1344" s="22"/>
      <c r="V1344" s="22"/>
      <c r="W1344" s="22"/>
      <c r="X1344" s="22"/>
      <c r="Y1344" s="22"/>
      <c r="Z1344" s="22"/>
      <c r="AA1344" s="22"/>
      <c r="AB1344" s="22"/>
      <c r="AC1344" s="41"/>
      <c r="AD1344" s="22"/>
    </row>
    <row r="1345" spans="18:30" x14ac:dyDescent="0.25">
      <c r="R1345" s="22"/>
      <c r="S1345" s="22"/>
      <c r="T1345" s="331"/>
      <c r="U1345" s="22"/>
      <c r="V1345" s="22"/>
      <c r="W1345" s="22"/>
      <c r="X1345" s="22"/>
      <c r="Y1345" s="22"/>
      <c r="Z1345" s="22"/>
      <c r="AA1345" s="22"/>
      <c r="AB1345" s="22"/>
      <c r="AC1345" s="41"/>
      <c r="AD1345" s="22"/>
    </row>
    <row r="1346" spans="18:30" x14ac:dyDescent="0.25">
      <c r="R1346" s="22"/>
      <c r="S1346" s="22"/>
      <c r="T1346" s="331"/>
      <c r="U1346" s="22"/>
      <c r="V1346" s="22"/>
      <c r="W1346" s="22"/>
      <c r="X1346" s="22"/>
      <c r="Y1346" s="22"/>
      <c r="Z1346" s="22"/>
      <c r="AA1346" s="22"/>
      <c r="AB1346" s="22"/>
      <c r="AC1346" s="41"/>
      <c r="AD1346" s="22"/>
    </row>
    <row r="1347" spans="18:30" x14ac:dyDescent="0.25">
      <c r="R1347" s="22"/>
      <c r="S1347" s="22"/>
      <c r="T1347" s="331"/>
      <c r="U1347" s="22"/>
      <c r="V1347" s="22"/>
      <c r="W1347" s="22"/>
      <c r="X1347" s="22"/>
      <c r="Y1347" s="22"/>
      <c r="Z1347" s="22"/>
      <c r="AA1347" s="22"/>
      <c r="AB1347" s="22"/>
      <c r="AC1347" s="41"/>
      <c r="AD1347" s="22"/>
    </row>
    <row r="1348" spans="18:30" x14ac:dyDescent="0.25">
      <c r="R1348" s="22"/>
      <c r="S1348" s="22"/>
      <c r="T1348" s="331"/>
      <c r="U1348" s="22"/>
      <c r="V1348" s="22"/>
      <c r="W1348" s="22"/>
      <c r="X1348" s="22"/>
      <c r="Y1348" s="22"/>
      <c r="Z1348" s="22"/>
      <c r="AA1348" s="22"/>
      <c r="AB1348" s="22"/>
      <c r="AC1348" s="41"/>
      <c r="AD1348" s="22"/>
    </row>
    <row r="1349" spans="18:30" x14ac:dyDescent="0.25">
      <c r="R1349" s="22"/>
      <c r="S1349" s="22"/>
      <c r="T1349" s="331"/>
      <c r="U1349" s="22"/>
      <c r="V1349" s="22"/>
      <c r="W1349" s="22"/>
      <c r="X1349" s="22"/>
      <c r="Y1349" s="22"/>
      <c r="Z1349" s="22"/>
      <c r="AA1349" s="22"/>
      <c r="AB1349" s="22"/>
      <c r="AC1349" s="41"/>
      <c r="AD1349" s="22"/>
    </row>
    <row r="1350" spans="18:30" x14ac:dyDescent="0.25">
      <c r="R1350" s="22"/>
      <c r="S1350" s="22"/>
      <c r="T1350" s="331"/>
      <c r="U1350" s="22"/>
      <c r="V1350" s="22"/>
      <c r="W1350" s="22"/>
      <c r="X1350" s="22"/>
      <c r="Y1350" s="22"/>
      <c r="Z1350" s="22"/>
      <c r="AA1350" s="22"/>
      <c r="AB1350" s="22"/>
      <c r="AC1350" s="41"/>
      <c r="AD1350" s="22"/>
    </row>
    <row r="1351" spans="18:30" x14ac:dyDescent="0.25">
      <c r="R1351" s="22"/>
      <c r="S1351" s="22"/>
      <c r="T1351" s="331"/>
      <c r="U1351" s="22"/>
      <c r="V1351" s="22"/>
      <c r="W1351" s="22"/>
      <c r="X1351" s="22"/>
      <c r="Y1351" s="22"/>
      <c r="Z1351" s="22"/>
      <c r="AA1351" s="22"/>
      <c r="AB1351" s="22"/>
      <c r="AC1351" s="41"/>
      <c r="AD1351" s="22"/>
    </row>
    <row r="1352" spans="18:30" x14ac:dyDescent="0.25">
      <c r="R1352" s="22"/>
      <c r="S1352" s="22"/>
      <c r="T1352" s="331"/>
      <c r="U1352" s="22"/>
      <c r="V1352" s="22"/>
      <c r="W1352" s="22"/>
      <c r="X1352" s="22"/>
      <c r="Y1352" s="22"/>
      <c r="Z1352" s="22"/>
      <c r="AA1352" s="22"/>
      <c r="AB1352" s="22"/>
      <c r="AC1352" s="41"/>
      <c r="AD1352" s="22"/>
    </row>
    <row r="1353" spans="18:30" x14ac:dyDescent="0.25">
      <c r="R1353" s="22"/>
      <c r="S1353" s="22"/>
      <c r="T1353" s="331"/>
      <c r="U1353" s="22"/>
      <c r="V1353" s="22"/>
      <c r="W1353" s="22"/>
      <c r="X1353" s="22"/>
      <c r="Y1353" s="22"/>
      <c r="Z1353" s="22"/>
      <c r="AA1353" s="22"/>
      <c r="AB1353" s="22"/>
      <c r="AC1353" s="41"/>
      <c r="AD1353" s="22"/>
    </row>
    <row r="1354" spans="18:30" x14ac:dyDescent="0.25">
      <c r="R1354" s="22"/>
      <c r="S1354" s="22"/>
      <c r="T1354" s="331"/>
      <c r="U1354" s="22"/>
      <c r="V1354" s="22"/>
      <c r="W1354" s="22"/>
      <c r="X1354" s="22"/>
      <c r="Y1354" s="22"/>
      <c r="Z1354" s="22"/>
      <c r="AA1354" s="22"/>
      <c r="AB1354" s="22"/>
      <c r="AC1354" s="41"/>
      <c r="AD1354" s="22"/>
    </row>
    <row r="1355" spans="18:30" x14ac:dyDescent="0.25">
      <c r="R1355" s="22"/>
      <c r="S1355" s="22"/>
      <c r="T1355" s="331"/>
      <c r="U1355" s="22"/>
      <c r="V1355" s="22"/>
      <c r="W1355" s="22"/>
      <c r="X1355" s="22"/>
      <c r="Y1355" s="22"/>
      <c r="Z1355" s="22"/>
      <c r="AA1355" s="22"/>
      <c r="AB1355" s="22"/>
      <c r="AC1355" s="41"/>
      <c r="AD1355" s="22"/>
    </row>
    <row r="1356" spans="18:30" x14ac:dyDescent="0.25">
      <c r="R1356" s="22"/>
      <c r="S1356" s="22"/>
      <c r="T1356" s="331"/>
      <c r="U1356" s="22"/>
      <c r="V1356" s="22"/>
      <c r="W1356" s="22"/>
      <c r="X1356" s="22"/>
      <c r="Y1356" s="22"/>
      <c r="Z1356" s="22"/>
      <c r="AA1356" s="22"/>
      <c r="AB1356" s="22"/>
      <c r="AC1356" s="41"/>
      <c r="AD1356" s="22"/>
    </row>
    <row r="1357" spans="18:30" x14ac:dyDescent="0.25">
      <c r="R1357" s="22"/>
      <c r="S1357" s="22"/>
      <c r="T1357" s="331"/>
      <c r="U1357" s="22"/>
      <c r="V1357" s="22"/>
      <c r="W1357" s="22"/>
      <c r="X1357" s="22"/>
      <c r="Y1357" s="22"/>
      <c r="Z1357" s="22"/>
      <c r="AA1357" s="22"/>
      <c r="AB1357" s="22"/>
      <c r="AC1357" s="41"/>
      <c r="AD1357" s="22"/>
    </row>
    <row r="1358" spans="18:30" x14ac:dyDescent="0.25">
      <c r="R1358" s="22"/>
      <c r="S1358" s="22"/>
      <c r="T1358" s="331"/>
      <c r="U1358" s="22"/>
      <c r="V1358" s="22"/>
      <c r="W1358" s="22"/>
      <c r="X1358" s="22"/>
      <c r="Y1358" s="22"/>
      <c r="Z1358" s="22"/>
      <c r="AA1358" s="22"/>
      <c r="AB1358" s="22"/>
      <c r="AC1358" s="41"/>
      <c r="AD1358" s="22"/>
    </row>
    <row r="1359" spans="18:30" x14ac:dyDescent="0.25">
      <c r="R1359" s="22"/>
      <c r="S1359" s="22"/>
      <c r="T1359" s="331"/>
      <c r="U1359" s="22"/>
      <c r="V1359" s="22"/>
      <c r="W1359" s="22"/>
      <c r="X1359" s="22"/>
      <c r="Y1359" s="22"/>
      <c r="Z1359" s="22"/>
      <c r="AA1359" s="22"/>
      <c r="AB1359" s="22"/>
      <c r="AC1359" s="41"/>
      <c r="AD1359" s="22"/>
    </row>
    <row r="1360" spans="18:30" x14ac:dyDescent="0.25">
      <c r="R1360" s="22"/>
      <c r="S1360" s="22"/>
      <c r="T1360" s="331"/>
      <c r="U1360" s="22"/>
      <c r="V1360" s="22"/>
      <c r="W1360" s="22"/>
      <c r="X1360" s="22"/>
      <c r="Y1360" s="22"/>
      <c r="Z1360" s="22"/>
      <c r="AA1360" s="22"/>
      <c r="AB1360" s="22"/>
      <c r="AC1360" s="41"/>
      <c r="AD1360" s="22"/>
    </row>
    <row r="1361" spans="18:30" x14ac:dyDescent="0.25">
      <c r="R1361" s="22"/>
      <c r="S1361" s="22"/>
      <c r="T1361" s="331"/>
      <c r="U1361" s="22"/>
      <c r="V1361" s="22"/>
      <c r="W1361" s="22"/>
      <c r="X1361" s="22"/>
      <c r="Y1361" s="22"/>
      <c r="Z1361" s="22"/>
      <c r="AA1361" s="22"/>
      <c r="AB1361" s="22"/>
      <c r="AC1361" s="41"/>
      <c r="AD1361" s="22"/>
    </row>
    <row r="1362" spans="18:30" x14ac:dyDescent="0.25">
      <c r="R1362" s="22"/>
      <c r="S1362" s="22"/>
      <c r="T1362" s="331"/>
      <c r="U1362" s="22"/>
      <c r="V1362" s="22"/>
      <c r="W1362" s="22"/>
      <c r="X1362" s="22"/>
      <c r="Y1362" s="22"/>
      <c r="Z1362" s="22"/>
      <c r="AA1362" s="22"/>
      <c r="AB1362" s="22"/>
      <c r="AC1362" s="41"/>
      <c r="AD1362" s="22"/>
    </row>
    <row r="1363" spans="18:30" x14ac:dyDescent="0.25">
      <c r="R1363" s="22"/>
      <c r="S1363" s="22"/>
      <c r="T1363" s="331"/>
      <c r="U1363" s="22"/>
      <c r="V1363" s="22"/>
      <c r="W1363" s="22"/>
      <c r="X1363" s="22"/>
      <c r="Y1363" s="22"/>
      <c r="Z1363" s="22"/>
      <c r="AA1363" s="22"/>
      <c r="AB1363" s="22"/>
      <c r="AC1363" s="41"/>
      <c r="AD1363" s="22"/>
    </row>
    <row r="1364" spans="18:30" x14ac:dyDescent="0.25">
      <c r="R1364" s="22"/>
      <c r="S1364" s="22"/>
      <c r="T1364" s="331"/>
      <c r="U1364" s="22"/>
      <c r="V1364" s="22"/>
      <c r="W1364" s="22"/>
      <c r="X1364" s="22"/>
      <c r="Y1364" s="22"/>
      <c r="Z1364" s="22"/>
      <c r="AA1364" s="22"/>
      <c r="AB1364" s="22"/>
      <c r="AC1364" s="41"/>
      <c r="AD1364" s="22"/>
    </row>
    <row r="1365" spans="18:30" x14ac:dyDescent="0.25">
      <c r="R1365" s="22"/>
      <c r="S1365" s="22"/>
      <c r="T1365" s="331"/>
      <c r="U1365" s="22"/>
      <c r="V1365" s="22"/>
      <c r="W1365" s="22"/>
      <c r="X1365" s="22"/>
      <c r="Y1365" s="22"/>
      <c r="Z1365" s="22"/>
      <c r="AA1365" s="22"/>
      <c r="AB1365" s="22"/>
      <c r="AC1365" s="41"/>
      <c r="AD1365" s="22"/>
    </row>
    <row r="1366" spans="18:30" x14ac:dyDescent="0.25">
      <c r="R1366" s="22"/>
      <c r="S1366" s="22"/>
      <c r="T1366" s="331"/>
      <c r="U1366" s="22"/>
      <c r="V1366" s="22"/>
      <c r="W1366" s="22"/>
      <c r="X1366" s="22"/>
      <c r="Y1366" s="22"/>
      <c r="Z1366" s="22"/>
      <c r="AA1366" s="22"/>
      <c r="AB1366" s="22"/>
      <c r="AC1366" s="41"/>
      <c r="AD1366" s="22"/>
    </row>
    <row r="1367" spans="18:30" x14ac:dyDescent="0.25">
      <c r="R1367" s="22"/>
      <c r="S1367" s="22"/>
      <c r="T1367" s="331"/>
      <c r="U1367" s="22"/>
      <c r="V1367" s="22"/>
      <c r="W1367" s="22"/>
      <c r="X1367" s="22"/>
      <c r="Y1367" s="22"/>
      <c r="Z1367" s="22"/>
      <c r="AA1367" s="22"/>
      <c r="AB1367" s="22"/>
      <c r="AC1367" s="41"/>
      <c r="AD1367" s="22"/>
    </row>
    <row r="1368" spans="18:30" x14ac:dyDescent="0.25">
      <c r="R1368" s="22"/>
      <c r="S1368" s="22"/>
      <c r="T1368" s="331"/>
      <c r="U1368" s="22"/>
      <c r="V1368" s="22"/>
      <c r="W1368" s="22"/>
      <c r="X1368" s="22"/>
      <c r="Y1368" s="22"/>
      <c r="Z1368" s="22"/>
      <c r="AA1368" s="22"/>
      <c r="AB1368" s="22"/>
      <c r="AC1368" s="41"/>
      <c r="AD1368" s="22"/>
    </row>
    <row r="1369" spans="18:30" x14ac:dyDescent="0.25">
      <c r="R1369" s="22"/>
      <c r="S1369" s="22"/>
      <c r="T1369" s="331"/>
      <c r="U1369" s="22"/>
      <c r="V1369" s="22"/>
      <c r="W1369" s="22"/>
      <c r="X1369" s="22"/>
      <c r="Y1369" s="22"/>
      <c r="Z1369" s="22"/>
      <c r="AA1369" s="22"/>
      <c r="AB1369" s="22"/>
      <c r="AC1369" s="41"/>
      <c r="AD1369" s="22"/>
    </row>
    <row r="1370" spans="18:30" x14ac:dyDescent="0.25">
      <c r="R1370" s="22"/>
      <c r="S1370" s="22"/>
      <c r="T1370" s="331"/>
      <c r="U1370" s="22"/>
      <c r="V1370" s="22"/>
      <c r="W1370" s="22"/>
      <c r="X1370" s="22"/>
      <c r="Y1370" s="22"/>
      <c r="Z1370" s="22"/>
      <c r="AA1370" s="22"/>
      <c r="AB1370" s="22"/>
      <c r="AC1370" s="41"/>
      <c r="AD1370" s="22"/>
    </row>
    <row r="1371" spans="18:30" x14ac:dyDescent="0.25">
      <c r="R1371" s="22"/>
      <c r="S1371" s="22"/>
      <c r="T1371" s="331"/>
      <c r="U1371" s="22"/>
      <c r="V1371" s="22"/>
      <c r="W1371" s="22"/>
      <c r="X1371" s="22"/>
      <c r="Y1371" s="22"/>
      <c r="Z1371" s="22"/>
      <c r="AA1371" s="22"/>
      <c r="AB1371" s="22"/>
      <c r="AC1371" s="41"/>
      <c r="AD1371" s="22"/>
    </row>
    <row r="1372" spans="18:30" x14ac:dyDescent="0.25">
      <c r="R1372" s="22"/>
      <c r="S1372" s="22"/>
      <c r="T1372" s="331"/>
      <c r="U1372" s="22"/>
      <c r="V1372" s="22"/>
      <c r="W1372" s="22"/>
      <c r="X1372" s="22"/>
      <c r="Y1372" s="22"/>
      <c r="Z1372" s="22"/>
      <c r="AA1372" s="22"/>
      <c r="AB1372" s="22"/>
      <c r="AC1372" s="41"/>
      <c r="AD1372" s="22"/>
    </row>
    <row r="1373" spans="18:30" x14ac:dyDescent="0.25">
      <c r="R1373" s="22"/>
      <c r="S1373" s="22"/>
      <c r="T1373" s="331"/>
      <c r="U1373" s="22"/>
      <c r="V1373" s="22"/>
      <c r="W1373" s="22"/>
      <c r="X1373" s="22"/>
      <c r="Y1373" s="22"/>
      <c r="Z1373" s="22"/>
      <c r="AA1373" s="22"/>
      <c r="AB1373" s="22"/>
      <c r="AC1373" s="41"/>
      <c r="AD1373" s="22"/>
    </row>
    <row r="1374" spans="18:30" x14ac:dyDescent="0.25">
      <c r="R1374" s="22"/>
      <c r="S1374" s="22"/>
      <c r="T1374" s="331"/>
      <c r="U1374" s="22"/>
      <c r="V1374" s="22"/>
      <c r="W1374" s="22"/>
      <c r="X1374" s="22"/>
      <c r="Y1374" s="22"/>
      <c r="Z1374" s="22"/>
      <c r="AA1374" s="22"/>
      <c r="AB1374" s="22"/>
      <c r="AC1374" s="41"/>
      <c r="AD1374" s="22"/>
    </row>
    <row r="1375" spans="18:30" x14ac:dyDescent="0.25">
      <c r="R1375" s="22"/>
      <c r="S1375" s="22"/>
      <c r="T1375" s="331"/>
      <c r="U1375" s="22"/>
      <c r="V1375" s="22"/>
      <c r="W1375" s="22"/>
      <c r="X1375" s="22"/>
      <c r="Y1375" s="22"/>
      <c r="Z1375" s="22"/>
      <c r="AA1375" s="22"/>
      <c r="AB1375" s="22"/>
      <c r="AC1375" s="41"/>
      <c r="AD1375" s="22"/>
    </row>
    <row r="1376" spans="18:30" x14ac:dyDescent="0.25">
      <c r="R1376" s="22"/>
      <c r="S1376" s="22"/>
      <c r="T1376" s="331"/>
      <c r="U1376" s="22"/>
      <c r="V1376" s="22"/>
      <c r="W1376" s="22"/>
      <c r="X1376" s="22"/>
      <c r="Y1376" s="22"/>
      <c r="Z1376" s="22"/>
      <c r="AA1376" s="22"/>
      <c r="AB1376" s="22"/>
      <c r="AC1376" s="41"/>
      <c r="AD1376" s="22"/>
    </row>
    <row r="1377" spans="18:30" x14ac:dyDescent="0.25">
      <c r="R1377" s="22"/>
      <c r="S1377" s="22"/>
      <c r="T1377" s="331"/>
      <c r="U1377" s="22"/>
      <c r="V1377" s="22"/>
      <c r="W1377" s="22"/>
      <c r="X1377" s="22"/>
      <c r="Y1377" s="22"/>
      <c r="Z1377" s="22"/>
      <c r="AA1377" s="22"/>
      <c r="AB1377" s="22"/>
      <c r="AC1377" s="41"/>
      <c r="AD1377" s="22"/>
    </row>
    <row r="1378" spans="18:30" x14ac:dyDescent="0.25">
      <c r="R1378" s="22"/>
      <c r="S1378" s="22"/>
      <c r="T1378" s="331"/>
      <c r="U1378" s="22"/>
      <c r="V1378" s="22"/>
      <c r="W1378" s="22"/>
      <c r="X1378" s="22"/>
      <c r="Y1378" s="22"/>
      <c r="Z1378" s="22"/>
      <c r="AA1378" s="22"/>
      <c r="AB1378" s="22"/>
      <c r="AC1378" s="41"/>
      <c r="AD1378" s="22"/>
    </row>
    <row r="1379" spans="18:30" x14ac:dyDescent="0.25">
      <c r="R1379" s="22"/>
      <c r="S1379" s="22"/>
      <c r="T1379" s="331"/>
      <c r="U1379" s="22"/>
      <c r="V1379" s="22"/>
      <c r="W1379" s="22"/>
      <c r="X1379" s="22"/>
      <c r="Y1379" s="22"/>
      <c r="Z1379" s="22"/>
      <c r="AA1379" s="22"/>
      <c r="AB1379" s="22"/>
      <c r="AC1379" s="41"/>
      <c r="AD1379" s="22"/>
    </row>
    <row r="1380" spans="18:30" x14ac:dyDescent="0.25">
      <c r="R1380" s="22"/>
      <c r="S1380" s="22"/>
      <c r="T1380" s="331"/>
      <c r="U1380" s="22"/>
      <c r="V1380" s="22"/>
      <c r="W1380" s="22"/>
      <c r="X1380" s="22"/>
      <c r="Y1380" s="22"/>
      <c r="Z1380" s="22"/>
      <c r="AA1380" s="22"/>
      <c r="AB1380" s="22"/>
      <c r="AC1380" s="41"/>
      <c r="AD1380" s="22"/>
    </row>
    <row r="1381" spans="18:30" x14ac:dyDescent="0.25">
      <c r="R1381" s="22"/>
      <c r="S1381" s="22"/>
      <c r="T1381" s="331"/>
      <c r="U1381" s="22"/>
      <c r="V1381" s="22"/>
      <c r="W1381" s="22"/>
      <c r="X1381" s="22"/>
      <c r="Y1381" s="22"/>
      <c r="Z1381" s="22"/>
      <c r="AA1381" s="22"/>
      <c r="AB1381" s="22"/>
      <c r="AC1381" s="41"/>
      <c r="AD1381" s="22"/>
    </row>
    <row r="1382" spans="18:30" x14ac:dyDescent="0.25">
      <c r="R1382" s="22"/>
      <c r="S1382" s="22"/>
      <c r="T1382" s="331"/>
      <c r="U1382" s="22"/>
      <c r="V1382" s="22"/>
      <c r="W1382" s="22"/>
      <c r="X1382" s="22"/>
      <c r="Y1382" s="22"/>
      <c r="Z1382" s="22"/>
      <c r="AA1382" s="22"/>
      <c r="AB1382" s="22"/>
      <c r="AC1382" s="41"/>
      <c r="AD1382" s="22"/>
    </row>
    <row r="1383" spans="18:30" x14ac:dyDescent="0.25">
      <c r="R1383" s="22"/>
      <c r="S1383" s="22"/>
      <c r="T1383" s="331"/>
      <c r="U1383" s="22"/>
      <c r="V1383" s="22"/>
      <c r="W1383" s="22"/>
      <c r="X1383" s="22"/>
      <c r="Y1383" s="22"/>
      <c r="Z1383" s="22"/>
      <c r="AA1383" s="22"/>
      <c r="AB1383" s="22"/>
      <c r="AC1383" s="41"/>
      <c r="AD1383" s="22"/>
    </row>
    <row r="1384" spans="18:30" x14ac:dyDescent="0.25">
      <c r="R1384" s="22"/>
      <c r="S1384" s="22"/>
      <c r="T1384" s="331"/>
      <c r="U1384" s="22"/>
      <c r="V1384" s="22"/>
      <c r="W1384" s="22"/>
      <c r="X1384" s="22"/>
      <c r="Y1384" s="22"/>
      <c r="Z1384" s="22"/>
      <c r="AA1384" s="22"/>
      <c r="AB1384" s="22"/>
      <c r="AC1384" s="41"/>
      <c r="AD1384" s="22"/>
    </row>
    <row r="1385" spans="18:30" x14ac:dyDescent="0.25">
      <c r="R1385" s="22"/>
      <c r="S1385" s="22"/>
      <c r="T1385" s="331"/>
      <c r="U1385" s="22"/>
      <c r="V1385" s="22"/>
      <c r="W1385" s="22"/>
      <c r="X1385" s="22"/>
      <c r="Y1385" s="22"/>
      <c r="Z1385" s="22"/>
      <c r="AA1385" s="22"/>
      <c r="AB1385" s="22"/>
      <c r="AC1385" s="41"/>
      <c r="AD1385" s="22"/>
    </row>
    <row r="1386" spans="18:30" x14ac:dyDescent="0.25">
      <c r="R1386" s="22"/>
      <c r="S1386" s="22"/>
      <c r="T1386" s="331"/>
      <c r="U1386" s="22"/>
      <c r="V1386" s="22"/>
      <c r="W1386" s="22"/>
      <c r="X1386" s="22"/>
      <c r="Y1386" s="22"/>
      <c r="Z1386" s="22"/>
      <c r="AA1386" s="22"/>
      <c r="AB1386" s="22"/>
      <c r="AC1386" s="41"/>
      <c r="AD1386" s="22"/>
    </row>
    <row r="1387" spans="18:30" x14ac:dyDescent="0.25">
      <c r="R1387" s="22"/>
      <c r="S1387" s="22"/>
      <c r="T1387" s="331"/>
      <c r="U1387" s="22"/>
      <c r="V1387" s="22"/>
      <c r="W1387" s="22"/>
      <c r="X1387" s="22"/>
      <c r="Y1387" s="22"/>
      <c r="Z1387" s="22"/>
      <c r="AA1387" s="22"/>
      <c r="AB1387" s="22"/>
      <c r="AC1387" s="41"/>
      <c r="AD1387" s="22"/>
    </row>
    <row r="1388" spans="18:30" x14ac:dyDescent="0.25">
      <c r="R1388" s="22"/>
      <c r="S1388" s="22"/>
      <c r="T1388" s="331"/>
      <c r="U1388" s="22"/>
      <c r="V1388" s="22"/>
      <c r="W1388" s="22"/>
      <c r="X1388" s="22"/>
      <c r="Y1388" s="22"/>
      <c r="Z1388" s="22"/>
      <c r="AA1388" s="22"/>
      <c r="AB1388" s="22"/>
      <c r="AC1388" s="41"/>
      <c r="AD1388" s="22"/>
    </row>
    <row r="1389" spans="18:30" x14ac:dyDescent="0.25">
      <c r="R1389" s="22"/>
      <c r="S1389" s="22"/>
      <c r="T1389" s="331"/>
      <c r="U1389" s="22"/>
      <c r="V1389" s="22"/>
      <c r="W1389" s="22"/>
      <c r="X1389" s="22"/>
      <c r="Y1389" s="22"/>
      <c r="Z1389" s="22"/>
      <c r="AA1389" s="22"/>
      <c r="AB1389" s="22"/>
      <c r="AC1389" s="41"/>
      <c r="AD1389" s="22"/>
    </row>
    <row r="1390" spans="18:30" x14ac:dyDescent="0.25">
      <c r="R1390" s="22"/>
      <c r="S1390" s="22"/>
      <c r="T1390" s="331"/>
      <c r="U1390" s="22"/>
      <c r="V1390" s="22"/>
      <c r="W1390" s="22"/>
      <c r="X1390" s="22"/>
      <c r="Y1390" s="22"/>
      <c r="Z1390" s="22"/>
      <c r="AA1390" s="22"/>
      <c r="AB1390" s="22"/>
      <c r="AC1390" s="41"/>
      <c r="AD1390" s="22"/>
    </row>
    <row r="1391" spans="18:30" x14ac:dyDescent="0.25">
      <c r="R1391" s="22"/>
      <c r="S1391" s="22"/>
      <c r="T1391" s="331"/>
      <c r="U1391" s="22"/>
      <c r="V1391" s="22"/>
      <c r="W1391" s="22"/>
      <c r="X1391" s="22"/>
      <c r="Y1391" s="22"/>
      <c r="Z1391" s="22"/>
      <c r="AA1391" s="22"/>
      <c r="AB1391" s="22"/>
      <c r="AC1391" s="41"/>
      <c r="AD1391" s="22"/>
    </row>
    <row r="1392" spans="18:30" x14ac:dyDescent="0.25">
      <c r="R1392" s="22"/>
      <c r="S1392" s="22"/>
      <c r="T1392" s="331"/>
      <c r="U1392" s="22"/>
      <c r="V1392" s="22"/>
      <c r="W1392" s="22"/>
      <c r="X1392" s="22"/>
      <c r="Y1392" s="22"/>
      <c r="Z1392" s="22"/>
      <c r="AA1392" s="22"/>
      <c r="AB1392" s="22"/>
      <c r="AC1392" s="41"/>
      <c r="AD1392" s="22"/>
    </row>
    <row r="1393" spans="18:30" x14ac:dyDescent="0.25">
      <c r="R1393" s="22"/>
      <c r="S1393" s="22"/>
      <c r="T1393" s="331"/>
      <c r="U1393" s="22"/>
      <c r="V1393" s="22"/>
      <c r="W1393" s="22"/>
      <c r="X1393" s="22"/>
      <c r="Y1393" s="22"/>
      <c r="Z1393" s="22"/>
      <c r="AA1393" s="22"/>
      <c r="AB1393" s="22"/>
      <c r="AC1393" s="41"/>
      <c r="AD1393" s="22"/>
    </row>
    <row r="1394" spans="18:30" x14ac:dyDescent="0.25">
      <c r="R1394" s="22"/>
      <c r="S1394" s="22"/>
      <c r="T1394" s="331"/>
      <c r="U1394" s="22"/>
      <c r="V1394" s="22"/>
      <c r="W1394" s="22"/>
      <c r="X1394" s="22"/>
      <c r="Y1394" s="22"/>
      <c r="Z1394" s="22"/>
      <c r="AA1394" s="22"/>
      <c r="AB1394" s="22"/>
      <c r="AC1394" s="41"/>
      <c r="AD1394" s="22"/>
    </row>
    <row r="1395" spans="18:30" x14ac:dyDescent="0.25">
      <c r="R1395" s="22"/>
      <c r="S1395" s="22"/>
      <c r="T1395" s="331"/>
      <c r="U1395" s="22"/>
      <c r="V1395" s="22"/>
      <c r="W1395" s="22"/>
      <c r="X1395" s="22"/>
      <c r="Y1395" s="22"/>
      <c r="Z1395" s="22"/>
      <c r="AA1395" s="22"/>
      <c r="AB1395" s="22"/>
      <c r="AC1395" s="41"/>
      <c r="AD1395" s="22"/>
    </row>
    <row r="1396" spans="18:30" x14ac:dyDescent="0.25">
      <c r="R1396" s="22"/>
      <c r="S1396" s="22"/>
      <c r="T1396" s="331"/>
      <c r="U1396" s="22"/>
      <c r="V1396" s="22"/>
      <c r="W1396" s="22"/>
      <c r="X1396" s="22"/>
      <c r="Y1396" s="22"/>
      <c r="Z1396" s="22"/>
      <c r="AA1396" s="22"/>
      <c r="AB1396" s="22"/>
      <c r="AC1396" s="41"/>
      <c r="AD1396" s="22"/>
    </row>
    <row r="1397" spans="18:30" x14ac:dyDescent="0.25">
      <c r="R1397" s="22"/>
      <c r="S1397" s="22"/>
      <c r="T1397" s="331"/>
      <c r="U1397" s="22"/>
      <c r="V1397" s="22"/>
      <c r="W1397" s="22"/>
      <c r="X1397" s="22"/>
      <c r="Y1397" s="22"/>
      <c r="Z1397" s="22"/>
      <c r="AA1397" s="22"/>
      <c r="AB1397" s="22"/>
      <c r="AC1397" s="41"/>
      <c r="AD1397" s="22"/>
    </row>
    <row r="1398" spans="18:30" x14ac:dyDescent="0.25">
      <c r="R1398" s="22"/>
      <c r="S1398" s="22"/>
      <c r="T1398" s="331"/>
      <c r="U1398" s="22"/>
      <c r="V1398" s="22"/>
      <c r="W1398" s="22"/>
      <c r="X1398" s="22"/>
      <c r="Y1398" s="22"/>
      <c r="Z1398" s="22"/>
      <c r="AA1398" s="22"/>
      <c r="AB1398" s="22"/>
      <c r="AC1398" s="41"/>
      <c r="AD1398" s="22"/>
    </row>
    <row r="1399" spans="18:30" x14ac:dyDescent="0.25">
      <c r="R1399" s="22"/>
      <c r="S1399" s="22"/>
      <c r="T1399" s="331"/>
      <c r="U1399" s="22"/>
      <c r="V1399" s="22"/>
      <c r="W1399" s="22"/>
      <c r="X1399" s="22"/>
      <c r="Y1399" s="22"/>
      <c r="Z1399" s="22"/>
      <c r="AA1399" s="22"/>
      <c r="AB1399" s="22"/>
      <c r="AC1399" s="41"/>
      <c r="AD1399" s="22"/>
    </row>
    <row r="1400" spans="18:30" x14ac:dyDescent="0.25">
      <c r="R1400" s="22"/>
      <c r="S1400" s="22"/>
      <c r="T1400" s="331"/>
      <c r="U1400" s="22"/>
      <c r="V1400" s="22"/>
      <c r="W1400" s="22"/>
      <c r="X1400" s="22"/>
      <c r="Y1400" s="22"/>
      <c r="Z1400" s="22"/>
      <c r="AA1400" s="22"/>
      <c r="AB1400" s="22"/>
      <c r="AC1400" s="41"/>
      <c r="AD1400" s="22"/>
    </row>
    <row r="1401" spans="18:30" x14ac:dyDescent="0.25">
      <c r="R1401" s="22"/>
      <c r="S1401" s="22"/>
      <c r="T1401" s="331"/>
      <c r="U1401" s="22"/>
      <c r="V1401" s="22"/>
      <c r="W1401" s="22"/>
      <c r="X1401" s="22"/>
      <c r="Y1401" s="22"/>
      <c r="Z1401" s="22"/>
      <c r="AA1401" s="22"/>
      <c r="AB1401" s="22"/>
      <c r="AC1401" s="41"/>
      <c r="AD1401" s="22"/>
    </row>
    <row r="1402" spans="18:30" x14ac:dyDescent="0.25">
      <c r="R1402" s="22"/>
      <c r="S1402" s="22"/>
      <c r="T1402" s="331"/>
      <c r="U1402" s="22"/>
      <c r="V1402" s="22"/>
      <c r="W1402" s="22"/>
      <c r="X1402" s="22"/>
      <c r="Y1402" s="22"/>
      <c r="Z1402" s="22"/>
      <c r="AA1402" s="22"/>
      <c r="AB1402" s="22"/>
      <c r="AC1402" s="41"/>
      <c r="AD1402" s="22"/>
    </row>
    <row r="1403" spans="18:30" x14ac:dyDescent="0.25">
      <c r="R1403" s="22"/>
      <c r="S1403" s="22"/>
      <c r="T1403" s="331"/>
      <c r="U1403" s="22"/>
      <c r="V1403" s="22"/>
      <c r="W1403" s="22"/>
      <c r="X1403" s="22"/>
      <c r="Y1403" s="22"/>
      <c r="Z1403" s="22"/>
      <c r="AA1403" s="22"/>
      <c r="AB1403" s="22"/>
      <c r="AC1403" s="41"/>
      <c r="AD1403" s="22"/>
    </row>
    <row r="1404" spans="18:30" x14ac:dyDescent="0.25">
      <c r="R1404" s="22"/>
      <c r="S1404" s="22"/>
      <c r="T1404" s="331"/>
      <c r="U1404" s="22"/>
      <c r="V1404" s="22"/>
      <c r="W1404" s="22"/>
      <c r="X1404" s="22"/>
      <c r="Y1404" s="22"/>
      <c r="Z1404" s="22"/>
      <c r="AA1404" s="22"/>
      <c r="AB1404" s="22"/>
      <c r="AC1404" s="41"/>
      <c r="AD1404" s="22"/>
    </row>
    <row r="1405" spans="18:30" x14ac:dyDescent="0.25">
      <c r="R1405" s="22"/>
      <c r="S1405" s="22"/>
      <c r="T1405" s="331"/>
      <c r="U1405" s="22"/>
      <c r="V1405" s="22"/>
      <c r="W1405" s="22"/>
      <c r="X1405" s="22"/>
      <c r="Y1405" s="22"/>
      <c r="Z1405" s="22"/>
      <c r="AA1405" s="22"/>
      <c r="AB1405" s="22"/>
      <c r="AC1405" s="41"/>
      <c r="AD1405" s="22"/>
    </row>
    <row r="1406" spans="18:30" x14ac:dyDescent="0.25">
      <c r="R1406" s="22"/>
      <c r="S1406" s="22"/>
      <c r="T1406" s="331"/>
      <c r="U1406" s="22"/>
      <c r="V1406" s="22"/>
      <c r="W1406" s="22"/>
      <c r="X1406" s="22"/>
      <c r="Y1406" s="22"/>
      <c r="Z1406" s="22"/>
      <c r="AA1406" s="22"/>
      <c r="AB1406" s="22"/>
      <c r="AC1406" s="41"/>
      <c r="AD1406" s="22"/>
    </row>
    <row r="1407" spans="18:30" x14ac:dyDescent="0.25">
      <c r="R1407" s="22"/>
      <c r="S1407" s="22"/>
      <c r="T1407" s="331"/>
      <c r="U1407" s="22"/>
      <c r="V1407" s="22"/>
      <c r="W1407" s="22"/>
      <c r="X1407" s="22"/>
      <c r="Y1407" s="22"/>
      <c r="Z1407" s="22"/>
      <c r="AA1407" s="22"/>
      <c r="AB1407" s="22"/>
      <c r="AC1407" s="41"/>
      <c r="AD1407" s="22"/>
    </row>
    <row r="1408" spans="18:30" x14ac:dyDescent="0.25">
      <c r="R1408" s="22"/>
      <c r="S1408" s="22"/>
      <c r="T1408" s="331"/>
      <c r="U1408" s="22"/>
      <c r="V1408" s="22"/>
      <c r="W1408" s="22"/>
      <c r="X1408" s="22"/>
      <c r="Y1408" s="22"/>
      <c r="Z1408" s="22"/>
      <c r="AA1408" s="22"/>
      <c r="AB1408" s="22"/>
      <c r="AC1408" s="41"/>
      <c r="AD1408" s="22"/>
    </row>
    <row r="1409" spans="18:30" x14ac:dyDescent="0.25">
      <c r="R1409" s="22"/>
      <c r="S1409" s="22"/>
      <c r="T1409" s="331"/>
      <c r="U1409" s="22"/>
      <c r="V1409" s="22"/>
      <c r="W1409" s="22"/>
      <c r="X1409" s="22"/>
      <c r="Y1409" s="22"/>
      <c r="Z1409" s="22"/>
      <c r="AA1409" s="22"/>
      <c r="AB1409" s="22"/>
      <c r="AC1409" s="41"/>
      <c r="AD1409" s="22"/>
    </row>
    <row r="1410" spans="18:30" x14ac:dyDescent="0.25">
      <c r="R1410" s="22"/>
      <c r="S1410" s="22"/>
      <c r="T1410" s="331"/>
      <c r="U1410" s="22"/>
      <c r="V1410" s="22"/>
      <c r="W1410" s="22"/>
      <c r="X1410" s="22"/>
      <c r="Y1410" s="22"/>
      <c r="Z1410" s="22"/>
      <c r="AA1410" s="22"/>
      <c r="AB1410" s="22"/>
      <c r="AC1410" s="41"/>
      <c r="AD1410" s="22"/>
    </row>
    <row r="1411" spans="18:30" x14ac:dyDescent="0.25">
      <c r="R1411" s="22"/>
      <c r="S1411" s="22"/>
      <c r="T1411" s="331"/>
      <c r="U1411" s="22"/>
      <c r="V1411" s="22"/>
      <c r="W1411" s="22"/>
      <c r="X1411" s="22"/>
      <c r="Y1411" s="22"/>
      <c r="Z1411" s="22"/>
      <c r="AA1411" s="22"/>
      <c r="AB1411" s="22"/>
      <c r="AC1411" s="41"/>
      <c r="AD1411" s="22"/>
    </row>
    <row r="1412" spans="18:30" x14ac:dyDescent="0.25">
      <c r="R1412" s="22"/>
      <c r="S1412" s="22"/>
      <c r="T1412" s="331"/>
      <c r="U1412" s="22"/>
      <c r="V1412" s="22"/>
      <c r="W1412" s="22"/>
      <c r="X1412" s="22"/>
      <c r="Y1412" s="22"/>
      <c r="Z1412" s="22"/>
      <c r="AA1412" s="22"/>
      <c r="AB1412" s="22"/>
      <c r="AC1412" s="41"/>
      <c r="AD1412" s="22"/>
    </row>
    <row r="1413" spans="18:30" x14ac:dyDescent="0.25">
      <c r="R1413" s="22"/>
      <c r="S1413" s="22"/>
      <c r="T1413" s="331"/>
      <c r="U1413" s="22"/>
      <c r="V1413" s="22"/>
      <c r="W1413" s="22"/>
      <c r="X1413" s="22"/>
      <c r="Y1413" s="22"/>
      <c r="Z1413" s="22"/>
      <c r="AA1413" s="22"/>
      <c r="AB1413" s="22"/>
      <c r="AC1413" s="41"/>
      <c r="AD1413" s="22"/>
    </row>
    <row r="1414" spans="18:30" x14ac:dyDescent="0.25">
      <c r="R1414" s="22"/>
      <c r="S1414" s="22"/>
      <c r="T1414" s="331"/>
      <c r="U1414" s="22"/>
      <c r="V1414" s="22"/>
      <c r="W1414" s="22"/>
      <c r="X1414" s="22"/>
      <c r="Y1414" s="22"/>
      <c r="Z1414" s="22"/>
      <c r="AA1414" s="22"/>
      <c r="AB1414" s="22"/>
      <c r="AC1414" s="41"/>
      <c r="AD1414" s="22"/>
    </row>
    <row r="1415" spans="18:30" x14ac:dyDescent="0.25">
      <c r="R1415" s="22"/>
      <c r="S1415" s="22"/>
      <c r="T1415" s="331"/>
      <c r="U1415" s="22"/>
      <c r="V1415" s="22"/>
      <c r="W1415" s="22"/>
      <c r="X1415" s="22"/>
      <c r="Y1415" s="22"/>
      <c r="Z1415" s="22"/>
      <c r="AA1415" s="22"/>
      <c r="AB1415" s="22"/>
      <c r="AC1415" s="41"/>
      <c r="AD1415" s="22"/>
    </row>
    <row r="1416" spans="18:30" x14ac:dyDescent="0.25">
      <c r="R1416" s="22"/>
      <c r="S1416" s="22"/>
      <c r="T1416" s="331"/>
      <c r="U1416" s="22"/>
      <c r="V1416" s="22"/>
      <c r="W1416" s="22"/>
      <c r="X1416" s="22"/>
      <c r="Y1416" s="22"/>
      <c r="Z1416" s="22"/>
      <c r="AA1416" s="22"/>
      <c r="AB1416" s="22"/>
      <c r="AC1416" s="41"/>
      <c r="AD1416" s="22"/>
    </row>
    <row r="1417" spans="18:30" x14ac:dyDescent="0.25">
      <c r="R1417" s="22"/>
      <c r="S1417" s="22"/>
      <c r="T1417" s="331"/>
      <c r="U1417" s="22"/>
      <c r="V1417" s="22"/>
      <c r="W1417" s="22"/>
      <c r="X1417" s="22"/>
      <c r="Y1417" s="22"/>
      <c r="Z1417" s="22"/>
      <c r="AA1417" s="22"/>
      <c r="AB1417" s="22"/>
      <c r="AC1417" s="41"/>
      <c r="AD1417" s="22"/>
    </row>
    <row r="1418" spans="18:30" x14ac:dyDescent="0.25">
      <c r="R1418" s="22"/>
      <c r="S1418" s="22"/>
      <c r="T1418" s="331"/>
      <c r="U1418" s="22"/>
      <c r="V1418" s="22"/>
      <c r="W1418" s="22"/>
      <c r="X1418" s="22"/>
      <c r="Y1418" s="22"/>
      <c r="Z1418" s="22"/>
      <c r="AA1418" s="22"/>
      <c r="AB1418" s="22"/>
      <c r="AC1418" s="41"/>
      <c r="AD1418" s="22"/>
    </row>
    <row r="1419" spans="18:30" x14ac:dyDescent="0.25">
      <c r="R1419" s="22"/>
      <c r="S1419" s="22"/>
      <c r="T1419" s="331"/>
      <c r="U1419" s="22"/>
      <c r="V1419" s="22"/>
      <c r="W1419" s="22"/>
      <c r="X1419" s="22"/>
      <c r="Y1419" s="22"/>
      <c r="Z1419" s="22"/>
      <c r="AA1419" s="22"/>
      <c r="AB1419" s="22"/>
      <c r="AC1419" s="41"/>
      <c r="AD1419" s="22"/>
    </row>
    <row r="1420" spans="18:30" x14ac:dyDescent="0.25">
      <c r="R1420" s="22"/>
      <c r="S1420" s="22"/>
      <c r="T1420" s="331"/>
      <c r="U1420" s="22"/>
      <c r="V1420" s="22"/>
      <c r="W1420" s="22"/>
      <c r="X1420" s="22"/>
      <c r="Y1420" s="22"/>
      <c r="Z1420" s="22"/>
      <c r="AA1420" s="22"/>
      <c r="AB1420" s="22"/>
      <c r="AC1420" s="41"/>
      <c r="AD1420" s="22"/>
    </row>
    <row r="1421" spans="18:30" x14ac:dyDescent="0.25">
      <c r="R1421" s="22"/>
      <c r="S1421" s="22"/>
      <c r="T1421" s="331"/>
      <c r="U1421" s="22"/>
      <c r="V1421" s="22"/>
      <c r="W1421" s="22"/>
      <c r="X1421" s="22"/>
      <c r="Y1421" s="22"/>
      <c r="Z1421" s="22"/>
      <c r="AA1421" s="22"/>
      <c r="AB1421" s="22"/>
      <c r="AC1421" s="41"/>
      <c r="AD1421" s="22"/>
    </row>
    <row r="1422" spans="18:30" x14ac:dyDescent="0.25">
      <c r="R1422" s="22"/>
      <c r="S1422" s="22"/>
      <c r="T1422" s="331"/>
      <c r="U1422" s="22"/>
      <c r="V1422" s="22"/>
      <c r="W1422" s="22"/>
      <c r="X1422" s="22"/>
      <c r="Y1422" s="22"/>
      <c r="Z1422" s="22"/>
      <c r="AA1422" s="22"/>
      <c r="AB1422" s="22"/>
      <c r="AC1422" s="41"/>
      <c r="AD1422" s="22"/>
    </row>
    <row r="1423" spans="18:30" x14ac:dyDescent="0.25">
      <c r="R1423" s="22"/>
      <c r="S1423" s="22"/>
      <c r="T1423" s="331"/>
      <c r="U1423" s="22"/>
      <c r="V1423" s="22"/>
      <c r="W1423" s="22"/>
      <c r="X1423" s="22"/>
      <c r="Y1423" s="22"/>
      <c r="Z1423" s="22"/>
      <c r="AA1423" s="22"/>
      <c r="AB1423" s="22"/>
      <c r="AC1423" s="41"/>
      <c r="AD1423" s="22"/>
    </row>
    <row r="1424" spans="18:30" x14ac:dyDescent="0.25">
      <c r="R1424" s="22"/>
      <c r="S1424" s="22"/>
      <c r="T1424" s="331"/>
      <c r="U1424" s="22"/>
      <c r="V1424" s="22"/>
      <c r="W1424" s="22"/>
      <c r="X1424" s="22"/>
      <c r="Y1424" s="22"/>
      <c r="Z1424" s="22"/>
      <c r="AA1424" s="22"/>
      <c r="AB1424" s="22"/>
      <c r="AC1424" s="41"/>
      <c r="AD1424" s="22"/>
    </row>
    <row r="1425" spans="18:30" x14ac:dyDescent="0.25">
      <c r="R1425" s="22"/>
      <c r="S1425" s="22"/>
      <c r="T1425" s="331"/>
      <c r="U1425" s="22"/>
      <c r="V1425" s="22"/>
      <c r="W1425" s="22"/>
      <c r="X1425" s="22"/>
      <c r="Y1425" s="22"/>
      <c r="Z1425" s="22"/>
      <c r="AA1425" s="22"/>
      <c r="AB1425" s="22"/>
      <c r="AC1425" s="41"/>
      <c r="AD1425" s="22"/>
    </row>
    <row r="1426" spans="18:30" x14ac:dyDescent="0.25">
      <c r="R1426" s="22"/>
      <c r="S1426" s="22"/>
      <c r="T1426" s="331"/>
      <c r="U1426" s="22"/>
      <c r="V1426" s="22"/>
      <c r="W1426" s="22"/>
      <c r="X1426" s="22"/>
      <c r="Y1426" s="22"/>
      <c r="Z1426" s="22"/>
      <c r="AA1426" s="22"/>
      <c r="AB1426" s="22"/>
      <c r="AC1426" s="41"/>
      <c r="AD1426" s="22"/>
    </row>
    <row r="1427" spans="18:30" x14ac:dyDescent="0.25">
      <c r="R1427" s="22"/>
      <c r="S1427" s="22"/>
      <c r="T1427" s="331"/>
      <c r="U1427" s="22"/>
      <c r="V1427" s="22"/>
      <c r="W1427" s="22"/>
      <c r="X1427" s="22"/>
      <c r="Y1427" s="22"/>
      <c r="Z1427" s="22"/>
      <c r="AA1427" s="22"/>
      <c r="AB1427" s="22"/>
      <c r="AC1427" s="41"/>
      <c r="AD1427" s="22"/>
    </row>
    <row r="1428" spans="18:30" x14ac:dyDescent="0.25">
      <c r="R1428" s="22"/>
      <c r="S1428" s="22"/>
      <c r="T1428" s="331"/>
      <c r="U1428" s="22"/>
      <c r="V1428" s="22"/>
      <c r="W1428" s="22"/>
      <c r="X1428" s="22"/>
      <c r="Y1428" s="22"/>
      <c r="Z1428" s="22"/>
      <c r="AA1428" s="22"/>
      <c r="AB1428" s="22"/>
      <c r="AC1428" s="41"/>
      <c r="AD1428" s="22"/>
    </row>
    <row r="1429" spans="18:30" x14ac:dyDescent="0.25">
      <c r="R1429" s="22"/>
      <c r="S1429" s="22"/>
      <c r="T1429" s="331"/>
      <c r="U1429" s="22"/>
      <c r="V1429" s="22"/>
      <c r="W1429" s="22"/>
      <c r="X1429" s="22"/>
      <c r="Y1429" s="22"/>
      <c r="Z1429" s="22"/>
      <c r="AA1429" s="22"/>
      <c r="AB1429" s="22"/>
      <c r="AC1429" s="41"/>
      <c r="AD1429" s="22"/>
    </row>
    <row r="1430" spans="18:30" x14ac:dyDescent="0.25">
      <c r="R1430" s="22"/>
      <c r="S1430" s="22"/>
      <c r="T1430" s="331"/>
      <c r="U1430" s="22"/>
      <c r="V1430" s="22"/>
      <c r="W1430" s="22"/>
      <c r="X1430" s="22"/>
      <c r="Y1430" s="22"/>
      <c r="Z1430" s="22"/>
      <c r="AA1430" s="22"/>
      <c r="AB1430" s="22"/>
      <c r="AC1430" s="41"/>
      <c r="AD1430" s="22"/>
    </row>
    <row r="1431" spans="18:30" x14ac:dyDescent="0.25">
      <c r="R1431" s="22"/>
      <c r="S1431" s="22"/>
      <c r="T1431" s="331"/>
      <c r="U1431" s="22"/>
      <c r="V1431" s="22"/>
      <c r="W1431" s="22"/>
      <c r="X1431" s="22"/>
      <c r="Y1431" s="22"/>
      <c r="Z1431" s="22"/>
      <c r="AA1431" s="22"/>
      <c r="AB1431" s="22"/>
      <c r="AC1431" s="41"/>
      <c r="AD1431" s="22"/>
    </row>
    <row r="1432" spans="18:30" x14ac:dyDescent="0.25">
      <c r="R1432" s="22"/>
      <c r="S1432" s="22"/>
      <c r="T1432" s="331"/>
      <c r="U1432" s="22"/>
      <c r="V1432" s="22"/>
      <c r="W1432" s="22"/>
      <c r="X1432" s="22"/>
      <c r="Y1432" s="22"/>
      <c r="Z1432" s="22"/>
      <c r="AA1432" s="22"/>
      <c r="AB1432" s="22"/>
      <c r="AC1432" s="41"/>
      <c r="AD1432" s="22"/>
    </row>
    <row r="1433" spans="18:30" x14ac:dyDescent="0.25">
      <c r="R1433" s="22"/>
      <c r="S1433" s="22"/>
      <c r="T1433" s="331"/>
      <c r="U1433" s="22"/>
      <c r="V1433" s="22"/>
      <c r="W1433" s="22"/>
      <c r="X1433" s="22"/>
      <c r="Y1433" s="22"/>
      <c r="Z1433" s="22"/>
      <c r="AA1433" s="22"/>
      <c r="AB1433" s="22"/>
      <c r="AC1433" s="41"/>
      <c r="AD1433" s="22"/>
    </row>
    <row r="1434" spans="18:30" x14ac:dyDescent="0.25">
      <c r="R1434" s="22"/>
      <c r="S1434" s="22"/>
      <c r="T1434" s="331"/>
      <c r="U1434" s="22"/>
      <c r="V1434" s="22"/>
      <c r="W1434" s="22"/>
      <c r="X1434" s="22"/>
      <c r="Y1434" s="22"/>
      <c r="Z1434" s="22"/>
      <c r="AA1434" s="22"/>
      <c r="AB1434" s="22"/>
      <c r="AC1434" s="41"/>
      <c r="AD1434" s="22"/>
    </row>
    <row r="1435" spans="18:30" x14ac:dyDescent="0.25">
      <c r="R1435" s="22"/>
      <c r="S1435" s="22"/>
      <c r="T1435" s="331"/>
      <c r="U1435" s="22"/>
      <c r="V1435" s="22"/>
      <c r="W1435" s="22"/>
      <c r="X1435" s="22"/>
      <c r="Y1435" s="22"/>
      <c r="Z1435" s="22"/>
      <c r="AA1435" s="22"/>
      <c r="AB1435" s="22"/>
      <c r="AC1435" s="41"/>
      <c r="AD1435" s="22"/>
    </row>
    <row r="1436" spans="18:30" x14ac:dyDescent="0.25">
      <c r="R1436" s="22"/>
      <c r="S1436" s="22"/>
      <c r="T1436" s="331"/>
      <c r="U1436" s="22"/>
      <c r="V1436" s="22"/>
      <c r="W1436" s="22"/>
      <c r="X1436" s="22"/>
      <c r="Y1436" s="22"/>
      <c r="Z1436" s="22"/>
      <c r="AA1436" s="22"/>
      <c r="AB1436" s="22"/>
      <c r="AC1436" s="41"/>
      <c r="AD1436" s="22"/>
    </row>
    <row r="1437" spans="18:30" x14ac:dyDescent="0.25">
      <c r="R1437" s="22"/>
      <c r="S1437" s="22"/>
      <c r="T1437" s="331"/>
      <c r="U1437" s="22"/>
      <c r="V1437" s="22"/>
      <c r="W1437" s="22"/>
      <c r="X1437" s="22"/>
      <c r="Y1437" s="22"/>
      <c r="Z1437" s="22"/>
      <c r="AA1437" s="22"/>
      <c r="AB1437" s="22"/>
      <c r="AC1437" s="41"/>
      <c r="AD1437" s="22"/>
    </row>
    <row r="1438" spans="18:30" x14ac:dyDescent="0.25">
      <c r="R1438" s="22"/>
      <c r="S1438" s="22"/>
      <c r="T1438" s="331"/>
      <c r="U1438" s="22"/>
      <c r="V1438" s="22"/>
      <c r="W1438" s="22"/>
      <c r="X1438" s="22"/>
      <c r="Y1438" s="22"/>
      <c r="Z1438" s="22"/>
      <c r="AA1438" s="22"/>
      <c r="AB1438" s="22"/>
      <c r="AC1438" s="41"/>
      <c r="AD1438" s="22"/>
    </row>
    <row r="1439" spans="18:30" x14ac:dyDescent="0.25">
      <c r="R1439" s="22"/>
      <c r="S1439" s="22"/>
      <c r="T1439" s="331"/>
      <c r="U1439" s="22"/>
      <c r="V1439" s="22"/>
      <c r="W1439" s="22"/>
      <c r="X1439" s="22"/>
      <c r="Y1439" s="22"/>
      <c r="Z1439" s="22"/>
      <c r="AA1439" s="22"/>
      <c r="AB1439" s="22"/>
      <c r="AC1439" s="41"/>
      <c r="AD1439" s="22"/>
    </row>
    <row r="1440" spans="18:30" x14ac:dyDescent="0.25">
      <c r="R1440" s="22"/>
      <c r="S1440" s="22"/>
      <c r="T1440" s="331"/>
      <c r="U1440" s="22"/>
      <c r="V1440" s="22"/>
      <c r="W1440" s="22"/>
      <c r="X1440" s="22"/>
      <c r="Y1440" s="22"/>
      <c r="Z1440" s="22"/>
      <c r="AA1440" s="22"/>
      <c r="AB1440" s="22"/>
      <c r="AC1440" s="41"/>
      <c r="AD1440" s="22"/>
    </row>
    <row r="1441" spans="18:30" x14ac:dyDescent="0.25">
      <c r="R1441" s="22"/>
      <c r="S1441" s="22"/>
      <c r="T1441" s="331"/>
      <c r="U1441" s="22"/>
      <c r="V1441" s="22"/>
      <c r="W1441" s="22"/>
      <c r="X1441" s="22"/>
      <c r="Y1441" s="22"/>
      <c r="Z1441" s="22"/>
      <c r="AA1441" s="22"/>
      <c r="AB1441" s="22"/>
      <c r="AC1441" s="41"/>
      <c r="AD1441" s="22"/>
    </row>
    <row r="1442" spans="18:30" x14ac:dyDescent="0.25">
      <c r="R1442" s="22"/>
      <c r="S1442" s="22"/>
      <c r="T1442" s="331"/>
      <c r="U1442" s="22"/>
      <c r="V1442" s="22"/>
      <c r="W1442" s="22"/>
      <c r="X1442" s="22"/>
      <c r="Y1442" s="22"/>
      <c r="Z1442" s="22"/>
      <c r="AA1442" s="22"/>
      <c r="AB1442" s="22"/>
      <c r="AC1442" s="41"/>
      <c r="AD1442" s="22"/>
    </row>
    <row r="1443" spans="18:30" x14ac:dyDescent="0.25">
      <c r="R1443" s="22"/>
      <c r="S1443" s="22"/>
      <c r="T1443" s="331"/>
      <c r="U1443" s="22"/>
      <c r="V1443" s="22"/>
      <c r="W1443" s="22"/>
      <c r="X1443" s="22"/>
      <c r="Y1443" s="22"/>
      <c r="Z1443" s="22"/>
      <c r="AA1443" s="22"/>
      <c r="AB1443" s="22"/>
      <c r="AC1443" s="41"/>
      <c r="AD1443" s="22"/>
    </row>
    <row r="1444" spans="18:30" x14ac:dyDescent="0.25">
      <c r="R1444" s="22"/>
      <c r="S1444" s="22"/>
      <c r="T1444" s="331"/>
      <c r="U1444" s="22"/>
      <c r="V1444" s="22"/>
      <c r="W1444" s="22"/>
      <c r="X1444" s="22"/>
      <c r="Y1444" s="22"/>
      <c r="Z1444" s="22"/>
      <c r="AA1444" s="22"/>
      <c r="AB1444" s="22"/>
      <c r="AC1444" s="41"/>
      <c r="AD1444" s="22"/>
    </row>
    <row r="1445" spans="18:30" x14ac:dyDescent="0.25">
      <c r="R1445" s="22"/>
      <c r="S1445" s="22"/>
      <c r="T1445" s="331"/>
      <c r="U1445" s="22"/>
      <c r="V1445" s="22"/>
      <c r="W1445" s="22"/>
      <c r="X1445" s="22"/>
      <c r="Y1445" s="22"/>
      <c r="Z1445" s="22"/>
      <c r="AA1445" s="22"/>
      <c r="AB1445" s="22"/>
      <c r="AC1445" s="41"/>
      <c r="AD1445" s="22"/>
    </row>
    <row r="1446" spans="18:30" x14ac:dyDescent="0.25">
      <c r="R1446" s="22"/>
      <c r="S1446" s="22"/>
      <c r="T1446" s="331"/>
      <c r="U1446" s="22"/>
      <c r="V1446" s="22"/>
      <c r="W1446" s="22"/>
      <c r="X1446" s="22"/>
      <c r="Y1446" s="22"/>
      <c r="Z1446" s="22"/>
      <c r="AA1446" s="22"/>
      <c r="AB1446" s="22"/>
      <c r="AC1446" s="41"/>
      <c r="AD1446" s="22"/>
    </row>
    <row r="1447" spans="18:30" x14ac:dyDescent="0.25">
      <c r="R1447" s="22"/>
      <c r="S1447" s="22"/>
      <c r="T1447" s="331"/>
      <c r="U1447" s="22"/>
      <c r="V1447" s="22"/>
      <c r="W1447" s="22"/>
      <c r="X1447" s="22"/>
      <c r="Y1447" s="22"/>
      <c r="Z1447" s="22"/>
      <c r="AA1447" s="22"/>
      <c r="AB1447" s="22"/>
      <c r="AC1447" s="41"/>
      <c r="AD1447" s="22"/>
    </row>
    <row r="1448" spans="18:30" x14ac:dyDescent="0.25">
      <c r="R1448" s="22"/>
      <c r="S1448" s="22"/>
      <c r="T1448" s="331"/>
      <c r="U1448" s="22"/>
      <c r="V1448" s="22"/>
      <c r="W1448" s="22"/>
      <c r="X1448" s="22"/>
      <c r="Y1448" s="22"/>
      <c r="Z1448" s="22"/>
      <c r="AA1448" s="22"/>
      <c r="AB1448" s="22"/>
      <c r="AC1448" s="41"/>
      <c r="AD1448" s="22"/>
    </row>
    <row r="1449" spans="18:30" x14ac:dyDescent="0.25">
      <c r="R1449" s="22"/>
      <c r="S1449" s="22"/>
      <c r="T1449" s="331"/>
      <c r="U1449" s="22"/>
      <c r="V1449" s="22"/>
      <c r="W1449" s="22"/>
      <c r="X1449" s="22"/>
      <c r="Y1449" s="22"/>
      <c r="Z1449" s="22"/>
      <c r="AA1449" s="22"/>
      <c r="AB1449" s="22"/>
      <c r="AC1449" s="41"/>
      <c r="AD1449" s="22"/>
    </row>
    <row r="1450" spans="18:30" x14ac:dyDescent="0.25">
      <c r="R1450" s="22"/>
      <c r="S1450" s="22"/>
      <c r="T1450" s="331"/>
      <c r="U1450" s="22"/>
      <c r="V1450" s="22"/>
      <c r="W1450" s="22"/>
      <c r="X1450" s="22"/>
      <c r="Y1450" s="22"/>
      <c r="Z1450" s="22"/>
      <c r="AA1450" s="22"/>
      <c r="AB1450" s="22"/>
      <c r="AC1450" s="41"/>
      <c r="AD1450" s="22"/>
    </row>
    <row r="1451" spans="18:30" x14ac:dyDescent="0.25">
      <c r="R1451" s="22"/>
      <c r="S1451" s="22"/>
      <c r="T1451" s="331"/>
      <c r="U1451" s="22"/>
      <c r="V1451" s="22"/>
      <c r="W1451" s="22"/>
      <c r="X1451" s="22"/>
      <c r="Y1451" s="22"/>
      <c r="Z1451" s="22"/>
      <c r="AA1451" s="22"/>
      <c r="AB1451" s="22"/>
      <c r="AC1451" s="41"/>
      <c r="AD1451" s="22"/>
    </row>
    <row r="1452" spans="18:30" x14ac:dyDescent="0.25">
      <c r="R1452" s="22"/>
      <c r="S1452" s="22"/>
      <c r="T1452" s="331"/>
      <c r="U1452" s="22"/>
      <c r="V1452" s="22"/>
      <c r="W1452" s="22"/>
      <c r="X1452" s="22"/>
      <c r="Y1452" s="22"/>
      <c r="Z1452" s="22"/>
      <c r="AA1452" s="22"/>
      <c r="AB1452" s="22"/>
      <c r="AC1452" s="41"/>
      <c r="AD1452" s="22"/>
    </row>
    <row r="1453" spans="18:30" x14ac:dyDescent="0.25">
      <c r="R1453" s="22"/>
      <c r="S1453" s="22"/>
      <c r="T1453" s="331"/>
      <c r="U1453" s="22"/>
      <c r="V1453" s="22"/>
      <c r="W1453" s="22"/>
      <c r="X1453" s="22"/>
      <c r="Y1453" s="22"/>
      <c r="Z1453" s="22"/>
      <c r="AA1453" s="22"/>
      <c r="AB1453" s="22"/>
      <c r="AC1453" s="41"/>
      <c r="AD1453" s="22"/>
    </row>
    <row r="1454" spans="18:30" x14ac:dyDescent="0.25">
      <c r="R1454" s="22"/>
      <c r="S1454" s="22"/>
      <c r="T1454" s="331"/>
      <c r="U1454" s="22"/>
      <c r="V1454" s="22"/>
      <c r="W1454" s="22"/>
      <c r="X1454" s="22"/>
      <c r="Y1454" s="22"/>
      <c r="Z1454" s="22"/>
      <c r="AA1454" s="22"/>
      <c r="AB1454" s="22"/>
      <c r="AC1454" s="41"/>
      <c r="AD1454" s="22"/>
    </row>
    <row r="1455" spans="18:30" x14ac:dyDescent="0.25">
      <c r="R1455" s="22"/>
      <c r="S1455" s="22"/>
      <c r="T1455" s="331"/>
      <c r="U1455" s="22"/>
      <c r="V1455" s="22"/>
      <c r="W1455" s="22"/>
      <c r="X1455" s="22"/>
      <c r="Y1455" s="22"/>
      <c r="Z1455" s="22"/>
      <c r="AA1455" s="22"/>
      <c r="AB1455" s="22"/>
      <c r="AC1455" s="41"/>
      <c r="AD1455" s="22"/>
    </row>
    <row r="1456" spans="18:30" x14ac:dyDescent="0.25">
      <c r="R1456" s="22"/>
      <c r="S1456" s="22"/>
      <c r="T1456" s="331"/>
      <c r="U1456" s="22"/>
      <c r="V1456" s="22"/>
      <c r="W1456" s="22"/>
      <c r="X1456" s="22"/>
      <c r="Y1456" s="22"/>
      <c r="Z1456" s="22"/>
      <c r="AA1456" s="22"/>
      <c r="AB1456" s="22"/>
      <c r="AC1456" s="41"/>
      <c r="AD1456" s="22"/>
    </row>
    <row r="1457" spans="18:30" x14ac:dyDescent="0.25">
      <c r="R1457" s="22"/>
      <c r="S1457" s="22"/>
      <c r="T1457" s="331"/>
      <c r="U1457" s="22"/>
      <c r="V1457" s="22"/>
      <c r="W1457" s="22"/>
      <c r="X1457" s="22"/>
      <c r="Y1457" s="22"/>
      <c r="Z1457" s="22"/>
      <c r="AA1457" s="22"/>
      <c r="AB1457" s="22"/>
      <c r="AC1457" s="41"/>
      <c r="AD1457" s="22"/>
    </row>
    <row r="1458" spans="18:30" x14ac:dyDescent="0.25">
      <c r="R1458" s="22"/>
      <c r="S1458" s="22"/>
      <c r="T1458" s="331"/>
      <c r="U1458" s="22"/>
      <c r="V1458" s="22"/>
      <c r="W1458" s="22"/>
      <c r="X1458" s="22"/>
      <c r="Y1458" s="22"/>
      <c r="Z1458" s="22"/>
      <c r="AA1458" s="22"/>
      <c r="AB1458" s="22"/>
      <c r="AC1458" s="41"/>
      <c r="AD1458" s="22"/>
    </row>
    <row r="1459" spans="18:30" x14ac:dyDescent="0.25">
      <c r="R1459" s="22"/>
      <c r="S1459" s="22"/>
      <c r="T1459" s="331"/>
      <c r="U1459" s="22"/>
      <c r="V1459" s="22"/>
      <c r="W1459" s="22"/>
      <c r="X1459" s="22"/>
      <c r="Y1459" s="22"/>
      <c r="Z1459" s="22"/>
      <c r="AA1459" s="22"/>
      <c r="AB1459" s="22"/>
      <c r="AC1459" s="41"/>
      <c r="AD1459" s="22"/>
    </row>
    <row r="1460" spans="18:30" x14ac:dyDescent="0.25">
      <c r="R1460" s="22"/>
      <c r="S1460" s="22"/>
      <c r="T1460" s="331"/>
      <c r="U1460" s="22"/>
      <c r="V1460" s="22"/>
      <c r="W1460" s="22"/>
      <c r="X1460" s="22"/>
      <c r="Y1460" s="22"/>
      <c r="Z1460" s="22"/>
      <c r="AA1460" s="22"/>
      <c r="AB1460" s="22"/>
      <c r="AC1460" s="41"/>
      <c r="AD1460" s="22"/>
    </row>
    <row r="1461" spans="18:30" x14ac:dyDescent="0.25">
      <c r="R1461" s="22"/>
      <c r="S1461" s="22"/>
      <c r="T1461" s="331"/>
      <c r="U1461" s="22"/>
      <c r="V1461" s="22"/>
      <c r="W1461" s="22"/>
      <c r="X1461" s="22"/>
      <c r="Y1461" s="22"/>
      <c r="Z1461" s="22"/>
      <c r="AA1461" s="22"/>
      <c r="AB1461" s="22"/>
      <c r="AC1461" s="41"/>
      <c r="AD1461" s="22"/>
    </row>
    <row r="1462" spans="18:30" x14ac:dyDescent="0.25">
      <c r="R1462" s="22"/>
      <c r="S1462" s="22"/>
      <c r="T1462" s="331"/>
      <c r="U1462" s="22"/>
      <c r="V1462" s="22"/>
      <c r="W1462" s="22"/>
      <c r="X1462" s="22"/>
      <c r="Y1462" s="22"/>
      <c r="Z1462" s="22"/>
      <c r="AA1462" s="22"/>
      <c r="AB1462" s="22"/>
      <c r="AC1462" s="41"/>
      <c r="AD1462" s="22"/>
    </row>
    <row r="1463" spans="18:30" x14ac:dyDescent="0.25">
      <c r="R1463" s="22"/>
      <c r="S1463" s="22"/>
      <c r="T1463" s="331"/>
      <c r="U1463" s="22"/>
      <c r="V1463" s="22"/>
      <c r="W1463" s="22"/>
      <c r="X1463" s="22"/>
      <c r="Y1463" s="22"/>
      <c r="Z1463" s="22"/>
      <c r="AA1463" s="22"/>
      <c r="AB1463" s="22"/>
      <c r="AC1463" s="41"/>
      <c r="AD1463" s="22"/>
    </row>
    <row r="1464" spans="18:30" x14ac:dyDescent="0.25">
      <c r="R1464" s="22"/>
      <c r="S1464" s="22"/>
      <c r="T1464" s="331"/>
      <c r="U1464" s="22"/>
      <c r="V1464" s="22"/>
      <c r="W1464" s="22"/>
      <c r="X1464" s="22"/>
      <c r="Y1464" s="22"/>
      <c r="Z1464" s="22"/>
      <c r="AA1464" s="22"/>
      <c r="AB1464" s="22"/>
      <c r="AC1464" s="41"/>
      <c r="AD1464" s="22"/>
    </row>
    <row r="1465" spans="18:30" x14ac:dyDescent="0.25">
      <c r="R1465" s="22"/>
      <c r="S1465" s="22"/>
      <c r="T1465" s="331"/>
      <c r="U1465" s="22"/>
      <c r="V1465" s="22"/>
      <c r="W1465" s="22"/>
      <c r="X1465" s="22"/>
      <c r="Y1465" s="22"/>
      <c r="Z1465" s="22"/>
      <c r="AA1465" s="22"/>
      <c r="AB1465" s="22"/>
      <c r="AC1465" s="41"/>
      <c r="AD1465" s="22"/>
    </row>
    <row r="1466" spans="18:30" x14ac:dyDescent="0.25">
      <c r="R1466" s="22"/>
      <c r="S1466" s="22"/>
      <c r="T1466" s="331"/>
      <c r="U1466" s="22"/>
      <c r="V1466" s="22"/>
      <c r="W1466" s="22"/>
      <c r="X1466" s="22"/>
      <c r="Y1466" s="22"/>
      <c r="Z1466" s="22"/>
      <c r="AA1466" s="22"/>
      <c r="AB1466" s="22"/>
      <c r="AC1466" s="41"/>
      <c r="AD1466" s="22"/>
    </row>
    <row r="1467" spans="18:30" x14ac:dyDescent="0.25">
      <c r="R1467" s="22"/>
      <c r="S1467" s="22"/>
      <c r="T1467" s="331"/>
      <c r="U1467" s="22"/>
      <c r="V1467" s="22"/>
      <c r="W1467" s="22"/>
      <c r="X1467" s="22"/>
      <c r="Y1467" s="22"/>
      <c r="Z1467" s="22"/>
      <c r="AA1467" s="22"/>
      <c r="AB1467" s="22"/>
      <c r="AC1467" s="41"/>
      <c r="AD1467" s="22"/>
    </row>
    <row r="1468" spans="18:30" x14ac:dyDescent="0.25">
      <c r="R1468" s="22"/>
      <c r="S1468" s="22"/>
      <c r="T1468" s="331"/>
      <c r="U1468" s="22"/>
      <c r="V1468" s="22"/>
      <c r="W1468" s="22"/>
      <c r="X1468" s="22"/>
      <c r="Y1468" s="22"/>
      <c r="Z1468" s="22"/>
      <c r="AA1468" s="22"/>
      <c r="AB1468" s="22"/>
      <c r="AC1468" s="41"/>
      <c r="AD1468" s="22"/>
    </row>
    <row r="1469" spans="18:30" x14ac:dyDescent="0.25">
      <c r="R1469" s="22"/>
      <c r="S1469" s="22"/>
      <c r="T1469" s="331"/>
      <c r="U1469" s="22"/>
      <c r="V1469" s="22"/>
      <c r="W1469" s="22"/>
      <c r="X1469" s="22"/>
      <c r="Y1469" s="22"/>
      <c r="Z1469" s="22"/>
      <c r="AA1469" s="22"/>
      <c r="AB1469" s="22"/>
      <c r="AC1469" s="41"/>
      <c r="AD1469" s="22"/>
    </row>
    <row r="1470" spans="18:30" x14ac:dyDescent="0.25">
      <c r="R1470" s="22"/>
      <c r="S1470" s="22"/>
      <c r="T1470" s="331"/>
      <c r="U1470" s="22"/>
      <c r="V1470" s="22"/>
      <c r="W1470" s="22"/>
      <c r="X1470" s="22"/>
      <c r="Y1470" s="22"/>
      <c r="Z1470" s="22"/>
      <c r="AA1470" s="22"/>
      <c r="AB1470" s="22"/>
      <c r="AC1470" s="41"/>
      <c r="AD1470" s="22"/>
    </row>
    <row r="1471" spans="18:30" x14ac:dyDescent="0.25">
      <c r="R1471" s="22"/>
      <c r="S1471" s="22"/>
      <c r="T1471" s="331"/>
      <c r="U1471" s="22"/>
      <c r="V1471" s="22"/>
      <c r="W1471" s="22"/>
      <c r="X1471" s="22"/>
      <c r="Y1471" s="22"/>
      <c r="Z1471" s="22"/>
      <c r="AA1471" s="22"/>
      <c r="AB1471" s="22"/>
      <c r="AC1471" s="41"/>
      <c r="AD1471" s="22"/>
    </row>
    <row r="1472" spans="18:30" x14ac:dyDescent="0.25">
      <c r="R1472" s="22"/>
      <c r="S1472" s="22"/>
      <c r="T1472" s="331"/>
      <c r="U1472" s="22"/>
      <c r="V1472" s="22"/>
      <c r="W1472" s="22"/>
      <c r="X1472" s="22"/>
      <c r="Y1472" s="22"/>
      <c r="Z1472" s="22"/>
      <c r="AA1472" s="22"/>
      <c r="AB1472" s="22"/>
      <c r="AC1472" s="41"/>
      <c r="AD1472" s="22"/>
    </row>
    <row r="1473" spans="18:30" x14ac:dyDescent="0.25">
      <c r="R1473" s="22"/>
      <c r="S1473" s="22"/>
      <c r="T1473" s="331"/>
      <c r="U1473" s="22"/>
      <c r="V1473" s="22"/>
      <c r="W1473" s="22"/>
      <c r="X1473" s="22"/>
      <c r="Y1473" s="22"/>
      <c r="Z1473" s="22"/>
      <c r="AA1473" s="22"/>
      <c r="AB1473" s="22"/>
      <c r="AC1473" s="41"/>
      <c r="AD1473" s="22"/>
    </row>
    <row r="1474" spans="18:30" x14ac:dyDescent="0.25">
      <c r="R1474" s="22"/>
      <c r="S1474" s="22"/>
      <c r="T1474" s="331"/>
      <c r="U1474" s="22"/>
      <c r="V1474" s="22"/>
      <c r="W1474" s="22"/>
      <c r="X1474" s="22"/>
      <c r="Y1474" s="22"/>
      <c r="Z1474" s="22"/>
      <c r="AA1474" s="22"/>
      <c r="AB1474" s="22"/>
      <c r="AC1474" s="41"/>
      <c r="AD1474" s="22"/>
    </row>
    <row r="1475" spans="18:30" x14ac:dyDescent="0.25">
      <c r="R1475" s="22"/>
      <c r="S1475" s="22"/>
      <c r="T1475" s="331"/>
      <c r="U1475" s="22"/>
      <c r="V1475" s="22"/>
      <c r="W1475" s="22"/>
      <c r="X1475" s="22"/>
      <c r="Y1475" s="22"/>
      <c r="Z1475" s="22"/>
      <c r="AA1475" s="22"/>
      <c r="AB1475" s="22"/>
      <c r="AC1475" s="41"/>
      <c r="AD1475" s="22"/>
    </row>
    <row r="1476" spans="18:30" x14ac:dyDescent="0.25">
      <c r="R1476" s="22"/>
      <c r="S1476" s="22"/>
      <c r="T1476" s="331"/>
      <c r="U1476" s="22"/>
      <c r="V1476" s="22"/>
      <c r="W1476" s="22"/>
      <c r="X1476" s="22"/>
      <c r="Y1476" s="22"/>
      <c r="Z1476" s="22"/>
      <c r="AA1476" s="22"/>
      <c r="AB1476" s="22"/>
      <c r="AC1476" s="41"/>
      <c r="AD1476" s="22"/>
    </row>
    <row r="1477" spans="18:30" x14ac:dyDescent="0.25">
      <c r="R1477" s="22"/>
      <c r="S1477" s="22"/>
      <c r="T1477" s="331"/>
      <c r="U1477" s="22"/>
      <c r="V1477" s="22"/>
      <c r="W1477" s="22"/>
      <c r="X1477" s="22"/>
      <c r="Y1477" s="22"/>
      <c r="Z1477" s="22"/>
      <c r="AA1477" s="22"/>
      <c r="AB1477" s="22"/>
      <c r="AC1477" s="41"/>
      <c r="AD1477" s="22"/>
    </row>
    <row r="1478" spans="18:30" x14ac:dyDescent="0.25">
      <c r="R1478" s="22"/>
      <c r="S1478" s="22"/>
      <c r="T1478" s="331"/>
      <c r="U1478" s="22"/>
      <c r="V1478" s="22"/>
      <c r="W1478" s="22"/>
      <c r="X1478" s="22"/>
      <c r="Y1478" s="22"/>
      <c r="Z1478" s="22"/>
      <c r="AA1478" s="22"/>
      <c r="AB1478" s="22"/>
      <c r="AC1478" s="41"/>
      <c r="AD1478" s="22"/>
    </row>
    <row r="1479" spans="18:30" x14ac:dyDescent="0.25">
      <c r="R1479" s="22"/>
      <c r="S1479" s="22"/>
      <c r="T1479" s="331"/>
      <c r="U1479" s="22"/>
      <c r="V1479" s="22"/>
      <c r="W1479" s="22"/>
      <c r="X1479" s="22"/>
      <c r="Y1479" s="22"/>
      <c r="Z1479" s="22"/>
      <c r="AA1479" s="22"/>
      <c r="AB1479" s="22"/>
      <c r="AC1479" s="41"/>
      <c r="AD1479" s="22"/>
    </row>
    <row r="1480" spans="18:30" x14ac:dyDescent="0.25">
      <c r="R1480" s="22"/>
      <c r="S1480" s="22"/>
      <c r="T1480" s="331"/>
      <c r="U1480" s="22"/>
      <c r="V1480" s="22"/>
      <c r="W1480" s="22"/>
      <c r="X1480" s="22"/>
      <c r="Y1480" s="22"/>
      <c r="Z1480" s="22"/>
      <c r="AA1480" s="22"/>
      <c r="AB1480" s="22"/>
      <c r="AC1480" s="41"/>
      <c r="AD1480" s="22"/>
    </row>
    <row r="1481" spans="18:30" x14ac:dyDescent="0.25">
      <c r="R1481" s="22"/>
      <c r="S1481" s="22"/>
      <c r="T1481" s="331"/>
      <c r="U1481" s="22"/>
      <c r="V1481" s="22"/>
      <c r="W1481" s="22"/>
      <c r="X1481" s="22"/>
      <c r="Y1481" s="22"/>
      <c r="Z1481" s="22"/>
      <c r="AA1481" s="22"/>
      <c r="AB1481" s="22"/>
      <c r="AC1481" s="41"/>
      <c r="AD1481" s="22"/>
    </row>
    <row r="1482" spans="18:30" x14ac:dyDescent="0.25">
      <c r="R1482" s="22"/>
      <c r="S1482" s="22"/>
      <c r="T1482" s="331"/>
      <c r="U1482" s="22"/>
      <c r="V1482" s="22"/>
      <c r="W1482" s="22"/>
      <c r="X1482" s="22"/>
      <c r="Y1482" s="22"/>
      <c r="Z1482" s="22"/>
      <c r="AA1482" s="22"/>
      <c r="AB1482" s="22"/>
      <c r="AC1482" s="41"/>
      <c r="AD1482" s="22"/>
    </row>
    <row r="1483" spans="18:30" x14ac:dyDescent="0.25">
      <c r="R1483" s="22"/>
      <c r="S1483" s="22"/>
      <c r="T1483" s="331"/>
      <c r="U1483" s="22"/>
      <c r="V1483" s="22"/>
      <c r="W1483" s="22"/>
      <c r="X1483" s="22"/>
      <c r="Y1483" s="22"/>
      <c r="Z1483" s="22"/>
      <c r="AA1483" s="22"/>
      <c r="AB1483" s="22"/>
      <c r="AC1483" s="41"/>
      <c r="AD1483" s="22"/>
    </row>
    <row r="1484" spans="18:30" x14ac:dyDescent="0.25">
      <c r="R1484" s="22"/>
      <c r="S1484" s="22"/>
      <c r="T1484" s="331"/>
      <c r="U1484" s="22"/>
      <c r="V1484" s="22"/>
      <c r="W1484" s="22"/>
      <c r="X1484" s="22"/>
      <c r="Y1484" s="22"/>
      <c r="Z1484" s="22"/>
      <c r="AA1484" s="22"/>
      <c r="AB1484" s="22"/>
      <c r="AC1484" s="41"/>
      <c r="AD1484" s="22"/>
    </row>
    <row r="1485" spans="18:30" x14ac:dyDescent="0.25">
      <c r="R1485" s="22"/>
      <c r="S1485" s="22"/>
      <c r="T1485" s="331"/>
      <c r="U1485" s="22"/>
      <c r="V1485" s="22"/>
      <c r="W1485" s="22"/>
      <c r="X1485" s="22"/>
      <c r="Y1485" s="22"/>
      <c r="Z1485" s="22"/>
      <c r="AA1485" s="22"/>
      <c r="AB1485" s="22"/>
      <c r="AC1485" s="41"/>
      <c r="AD1485" s="22"/>
    </row>
    <row r="1486" spans="18:30" x14ac:dyDescent="0.25">
      <c r="R1486" s="22"/>
      <c r="S1486" s="22"/>
      <c r="T1486" s="331"/>
      <c r="U1486" s="22"/>
      <c r="V1486" s="22"/>
      <c r="W1486" s="22"/>
      <c r="X1486" s="22"/>
      <c r="Y1486" s="22"/>
      <c r="Z1486" s="22"/>
      <c r="AA1486" s="22"/>
      <c r="AB1486" s="22"/>
      <c r="AC1486" s="41"/>
      <c r="AD1486" s="22"/>
    </row>
    <row r="1487" spans="18:30" x14ac:dyDescent="0.25">
      <c r="R1487" s="22"/>
      <c r="S1487" s="22"/>
      <c r="T1487" s="331"/>
      <c r="U1487" s="22"/>
      <c r="V1487" s="22"/>
      <c r="W1487" s="22"/>
      <c r="X1487" s="22"/>
      <c r="Y1487" s="22"/>
      <c r="Z1487" s="22"/>
      <c r="AA1487" s="22"/>
      <c r="AB1487" s="22"/>
      <c r="AC1487" s="41"/>
      <c r="AD1487" s="22"/>
    </row>
    <row r="1488" spans="18:30" x14ac:dyDescent="0.25">
      <c r="R1488" s="22"/>
      <c r="S1488" s="22"/>
      <c r="T1488" s="331"/>
      <c r="U1488" s="22"/>
      <c r="V1488" s="22"/>
      <c r="W1488" s="22"/>
      <c r="X1488" s="22"/>
      <c r="Y1488" s="22"/>
      <c r="Z1488" s="22"/>
      <c r="AA1488" s="22"/>
      <c r="AB1488" s="22"/>
      <c r="AC1488" s="41"/>
      <c r="AD1488" s="22"/>
    </row>
    <row r="1489" spans="18:30" x14ac:dyDescent="0.25">
      <c r="R1489" s="22"/>
      <c r="S1489" s="22"/>
      <c r="T1489" s="331"/>
      <c r="U1489" s="22"/>
      <c r="V1489" s="22"/>
      <c r="W1489" s="22"/>
      <c r="X1489" s="22"/>
      <c r="Y1489" s="22"/>
      <c r="Z1489" s="22"/>
      <c r="AA1489" s="22"/>
      <c r="AB1489" s="22"/>
      <c r="AC1489" s="41"/>
      <c r="AD1489" s="22"/>
    </row>
    <row r="1490" spans="18:30" x14ac:dyDescent="0.25">
      <c r="R1490" s="22"/>
      <c r="S1490" s="22"/>
      <c r="T1490" s="331"/>
      <c r="U1490" s="22"/>
      <c r="V1490" s="22"/>
      <c r="W1490" s="22"/>
      <c r="X1490" s="22"/>
      <c r="Y1490" s="22"/>
      <c r="Z1490" s="22"/>
      <c r="AA1490" s="22"/>
      <c r="AB1490" s="22"/>
      <c r="AC1490" s="41"/>
      <c r="AD1490" s="22"/>
    </row>
    <row r="1491" spans="18:30" x14ac:dyDescent="0.25">
      <c r="R1491" s="22"/>
      <c r="S1491" s="22"/>
      <c r="T1491" s="331"/>
      <c r="U1491" s="22"/>
      <c r="V1491" s="22"/>
      <c r="W1491" s="22"/>
      <c r="X1491" s="22"/>
      <c r="Y1491" s="22"/>
      <c r="Z1491" s="22"/>
      <c r="AA1491" s="22"/>
      <c r="AB1491" s="22"/>
      <c r="AC1491" s="41"/>
      <c r="AD1491" s="22"/>
    </row>
    <row r="1492" spans="18:30" x14ac:dyDescent="0.25">
      <c r="R1492" s="22"/>
      <c r="S1492" s="22"/>
      <c r="T1492" s="331"/>
      <c r="U1492" s="22"/>
      <c r="V1492" s="22"/>
      <c r="W1492" s="22"/>
      <c r="X1492" s="22"/>
      <c r="Y1492" s="22"/>
      <c r="Z1492" s="22"/>
      <c r="AA1492" s="22"/>
      <c r="AB1492" s="22"/>
      <c r="AC1492" s="41"/>
      <c r="AD1492" s="22"/>
    </row>
    <row r="1493" spans="18:30" x14ac:dyDescent="0.25">
      <c r="R1493" s="22"/>
      <c r="S1493" s="22"/>
      <c r="T1493" s="331"/>
      <c r="U1493" s="22"/>
      <c r="V1493" s="22"/>
      <c r="W1493" s="22"/>
      <c r="X1493" s="22"/>
      <c r="Y1493" s="22"/>
      <c r="Z1493" s="22"/>
      <c r="AA1493" s="22"/>
      <c r="AB1493" s="22"/>
      <c r="AC1493" s="41"/>
      <c r="AD1493" s="22"/>
    </row>
    <row r="1494" spans="18:30" x14ac:dyDescent="0.25">
      <c r="R1494" s="22"/>
      <c r="S1494" s="22"/>
      <c r="T1494" s="331"/>
      <c r="U1494" s="22"/>
      <c r="V1494" s="22"/>
      <c r="W1494" s="22"/>
      <c r="X1494" s="22"/>
      <c r="Y1494" s="22"/>
      <c r="Z1494" s="22"/>
      <c r="AA1494" s="22"/>
      <c r="AB1494" s="22"/>
      <c r="AC1494" s="41"/>
      <c r="AD1494" s="22"/>
    </row>
    <row r="1495" spans="18:30" x14ac:dyDescent="0.25">
      <c r="R1495" s="22"/>
      <c r="S1495" s="22"/>
      <c r="T1495" s="331"/>
      <c r="U1495" s="22"/>
      <c r="V1495" s="22"/>
      <c r="W1495" s="22"/>
      <c r="X1495" s="22"/>
      <c r="Y1495" s="22"/>
      <c r="Z1495" s="22"/>
      <c r="AA1495" s="22"/>
      <c r="AB1495" s="22"/>
      <c r="AC1495" s="41"/>
      <c r="AD1495" s="22"/>
    </row>
    <row r="1496" spans="18:30" x14ac:dyDescent="0.25">
      <c r="R1496" s="22"/>
      <c r="S1496" s="22"/>
      <c r="T1496" s="331"/>
      <c r="U1496" s="22"/>
      <c r="V1496" s="22"/>
      <c r="W1496" s="22"/>
      <c r="X1496" s="22"/>
      <c r="Y1496" s="22"/>
      <c r="Z1496" s="22"/>
      <c r="AA1496" s="22"/>
      <c r="AB1496" s="22"/>
      <c r="AC1496" s="41"/>
      <c r="AD1496" s="22"/>
    </row>
    <row r="1497" spans="18:30" x14ac:dyDescent="0.25">
      <c r="R1497" s="22"/>
      <c r="S1497" s="22"/>
      <c r="T1497" s="331"/>
      <c r="U1497" s="22"/>
      <c r="V1497" s="22"/>
      <c r="W1497" s="22"/>
      <c r="X1497" s="22"/>
      <c r="Y1497" s="22"/>
      <c r="Z1497" s="22"/>
      <c r="AA1497" s="22"/>
      <c r="AB1497" s="22"/>
      <c r="AC1497" s="41"/>
      <c r="AD1497" s="22"/>
    </row>
    <row r="1498" spans="18:30" x14ac:dyDescent="0.25">
      <c r="R1498" s="22"/>
      <c r="S1498" s="22"/>
      <c r="T1498" s="331"/>
      <c r="U1498" s="22"/>
      <c r="V1498" s="22"/>
      <c r="W1498" s="22"/>
      <c r="X1498" s="22"/>
      <c r="Y1498" s="22"/>
      <c r="Z1498" s="22"/>
      <c r="AA1498" s="22"/>
      <c r="AB1498" s="22"/>
      <c r="AC1498" s="41"/>
      <c r="AD1498" s="22"/>
    </row>
    <row r="1499" spans="18:30" x14ac:dyDescent="0.25">
      <c r="R1499" s="22"/>
      <c r="S1499" s="22"/>
      <c r="T1499" s="331"/>
      <c r="U1499" s="22"/>
      <c r="V1499" s="22"/>
      <c r="W1499" s="22"/>
      <c r="X1499" s="22"/>
      <c r="Y1499" s="22"/>
      <c r="Z1499" s="22"/>
      <c r="AA1499" s="22"/>
      <c r="AB1499" s="22"/>
      <c r="AC1499" s="41"/>
      <c r="AD1499" s="22"/>
    </row>
    <row r="1500" spans="18:30" x14ac:dyDescent="0.25">
      <c r="R1500" s="22"/>
      <c r="S1500" s="22"/>
      <c r="T1500" s="331"/>
      <c r="U1500" s="22"/>
      <c r="V1500" s="22"/>
      <c r="W1500" s="22"/>
      <c r="X1500" s="22"/>
      <c r="Y1500" s="22"/>
      <c r="Z1500" s="22"/>
      <c r="AA1500" s="22"/>
      <c r="AB1500" s="22"/>
      <c r="AC1500" s="41"/>
      <c r="AD1500" s="22"/>
    </row>
    <row r="1501" spans="18:30" x14ac:dyDescent="0.25">
      <c r="R1501" s="22"/>
      <c r="S1501" s="22"/>
      <c r="T1501" s="331"/>
      <c r="U1501" s="22"/>
      <c r="V1501" s="22"/>
      <c r="W1501" s="22"/>
      <c r="X1501" s="22"/>
      <c r="Y1501" s="22"/>
      <c r="Z1501" s="22"/>
      <c r="AA1501" s="22"/>
      <c r="AB1501" s="22"/>
      <c r="AC1501" s="41"/>
      <c r="AD1501" s="22"/>
    </row>
    <row r="1502" spans="18:30" x14ac:dyDescent="0.25">
      <c r="R1502" s="22"/>
      <c r="S1502" s="22"/>
      <c r="T1502" s="331"/>
      <c r="U1502" s="22"/>
      <c r="V1502" s="22"/>
      <c r="W1502" s="22"/>
      <c r="X1502" s="22"/>
      <c r="Y1502" s="22"/>
      <c r="Z1502" s="22"/>
      <c r="AA1502" s="22"/>
      <c r="AB1502" s="22"/>
      <c r="AC1502" s="41"/>
      <c r="AD1502" s="22"/>
    </row>
    <row r="1503" spans="18:30" x14ac:dyDescent="0.25">
      <c r="R1503" s="22"/>
      <c r="S1503" s="22"/>
      <c r="T1503" s="331"/>
      <c r="U1503" s="22"/>
      <c r="V1503" s="22"/>
      <c r="W1503" s="22"/>
      <c r="X1503" s="22"/>
      <c r="Y1503" s="22"/>
      <c r="Z1503" s="22"/>
      <c r="AA1503" s="22"/>
      <c r="AB1503" s="22"/>
      <c r="AC1503" s="41"/>
      <c r="AD1503" s="22"/>
    </row>
    <row r="1504" spans="18:30" x14ac:dyDescent="0.25">
      <c r="R1504" s="22"/>
      <c r="S1504" s="22"/>
      <c r="T1504" s="331"/>
      <c r="U1504" s="22"/>
      <c r="V1504" s="22"/>
      <c r="W1504" s="22"/>
      <c r="X1504" s="22"/>
      <c r="Y1504" s="22"/>
      <c r="Z1504" s="22"/>
      <c r="AA1504" s="22"/>
      <c r="AB1504" s="22"/>
      <c r="AC1504" s="41"/>
      <c r="AD1504" s="22"/>
    </row>
    <row r="1505" spans="18:30" x14ac:dyDescent="0.25">
      <c r="R1505" s="22"/>
      <c r="S1505" s="22"/>
      <c r="T1505" s="331"/>
      <c r="U1505" s="22"/>
      <c r="V1505" s="22"/>
      <c r="W1505" s="22"/>
      <c r="X1505" s="22"/>
      <c r="Y1505" s="22"/>
      <c r="Z1505" s="22"/>
      <c r="AA1505" s="22"/>
      <c r="AB1505" s="22"/>
      <c r="AC1505" s="41"/>
      <c r="AD1505" s="22"/>
    </row>
    <row r="1506" spans="18:30" x14ac:dyDescent="0.25">
      <c r="R1506" s="22"/>
      <c r="S1506" s="22"/>
      <c r="T1506" s="331"/>
      <c r="U1506" s="22"/>
      <c r="V1506" s="22"/>
      <c r="W1506" s="22"/>
      <c r="X1506" s="22"/>
      <c r="Y1506" s="22"/>
      <c r="Z1506" s="22"/>
      <c r="AA1506" s="22"/>
      <c r="AB1506" s="22"/>
      <c r="AC1506" s="41"/>
      <c r="AD1506" s="22"/>
    </row>
    <row r="1507" spans="18:30" x14ac:dyDescent="0.25">
      <c r="R1507" s="22"/>
      <c r="S1507" s="22"/>
      <c r="T1507" s="331"/>
      <c r="U1507" s="22"/>
      <c r="V1507" s="22"/>
      <c r="W1507" s="22"/>
      <c r="X1507" s="22"/>
      <c r="Y1507" s="22"/>
      <c r="Z1507" s="22"/>
      <c r="AA1507" s="22"/>
      <c r="AB1507" s="22"/>
      <c r="AC1507" s="41"/>
      <c r="AD1507" s="22"/>
    </row>
    <row r="1508" spans="18:30" x14ac:dyDescent="0.25">
      <c r="R1508" s="22"/>
      <c r="S1508" s="22"/>
      <c r="T1508" s="331"/>
      <c r="U1508" s="22"/>
      <c r="V1508" s="22"/>
      <c r="W1508" s="22"/>
      <c r="X1508" s="22"/>
      <c r="Y1508" s="22"/>
      <c r="Z1508" s="22"/>
      <c r="AA1508" s="22"/>
      <c r="AB1508" s="22"/>
      <c r="AC1508" s="41"/>
      <c r="AD1508" s="22"/>
    </row>
    <row r="1509" spans="18:30" x14ac:dyDescent="0.25">
      <c r="R1509" s="22"/>
      <c r="S1509" s="22"/>
      <c r="T1509" s="331"/>
      <c r="U1509" s="22"/>
      <c r="V1509" s="22"/>
      <c r="W1509" s="22"/>
      <c r="X1509" s="22"/>
      <c r="Y1509" s="22"/>
      <c r="Z1509" s="22"/>
      <c r="AA1509" s="22"/>
      <c r="AB1509" s="22"/>
      <c r="AC1509" s="41"/>
      <c r="AD1509" s="22"/>
    </row>
    <row r="1510" spans="18:30" x14ac:dyDescent="0.25">
      <c r="R1510" s="22"/>
      <c r="S1510" s="22"/>
      <c r="T1510" s="331"/>
      <c r="U1510" s="22"/>
      <c r="V1510" s="22"/>
      <c r="W1510" s="22"/>
      <c r="X1510" s="22"/>
      <c r="Y1510" s="22"/>
      <c r="Z1510" s="22"/>
      <c r="AA1510" s="22"/>
      <c r="AB1510" s="22"/>
      <c r="AC1510" s="41"/>
      <c r="AD1510" s="22"/>
    </row>
    <row r="1511" spans="18:30" x14ac:dyDescent="0.25">
      <c r="R1511" s="22"/>
      <c r="S1511" s="22"/>
      <c r="T1511" s="331"/>
      <c r="U1511" s="22"/>
      <c r="V1511" s="22"/>
      <c r="W1511" s="22"/>
      <c r="X1511" s="22"/>
      <c r="Y1511" s="22"/>
      <c r="Z1511" s="22"/>
      <c r="AA1511" s="22"/>
      <c r="AB1511" s="22"/>
      <c r="AC1511" s="41"/>
      <c r="AD1511" s="22"/>
    </row>
    <row r="1512" spans="18:30" x14ac:dyDescent="0.25">
      <c r="R1512" s="22"/>
      <c r="S1512" s="22"/>
      <c r="T1512" s="331"/>
      <c r="U1512" s="22"/>
      <c r="V1512" s="22"/>
      <c r="W1512" s="22"/>
      <c r="X1512" s="22"/>
      <c r="Y1512" s="22"/>
      <c r="Z1512" s="22"/>
      <c r="AA1512" s="22"/>
      <c r="AB1512" s="22"/>
      <c r="AC1512" s="41"/>
      <c r="AD1512" s="22"/>
    </row>
    <row r="1513" spans="18:30" x14ac:dyDescent="0.25">
      <c r="R1513" s="22"/>
      <c r="S1513" s="22"/>
      <c r="T1513" s="331"/>
      <c r="U1513" s="22"/>
      <c r="V1513" s="22"/>
      <c r="W1513" s="22"/>
      <c r="X1513" s="22"/>
      <c r="Y1513" s="22"/>
      <c r="Z1513" s="22"/>
      <c r="AA1513" s="22"/>
      <c r="AB1513" s="22"/>
      <c r="AC1513" s="41"/>
      <c r="AD1513" s="22"/>
    </row>
    <row r="1514" spans="18:30" x14ac:dyDescent="0.25">
      <c r="R1514" s="22"/>
      <c r="S1514" s="22"/>
      <c r="T1514" s="331"/>
      <c r="U1514" s="22"/>
      <c r="V1514" s="22"/>
      <c r="W1514" s="22"/>
      <c r="X1514" s="22"/>
      <c r="Y1514" s="22"/>
      <c r="Z1514" s="22"/>
      <c r="AA1514" s="22"/>
      <c r="AB1514" s="22"/>
      <c r="AC1514" s="41"/>
      <c r="AD1514" s="22"/>
    </row>
    <row r="1515" spans="18:30" x14ac:dyDescent="0.25">
      <c r="R1515" s="22"/>
      <c r="S1515" s="22"/>
      <c r="T1515" s="331"/>
      <c r="U1515" s="22"/>
      <c r="V1515" s="22"/>
      <c r="W1515" s="22"/>
      <c r="X1515" s="22"/>
      <c r="Y1515" s="22"/>
      <c r="Z1515" s="22"/>
      <c r="AA1515" s="22"/>
      <c r="AB1515" s="22"/>
      <c r="AC1515" s="41"/>
      <c r="AD1515" s="22"/>
    </row>
    <row r="1516" spans="18:30" x14ac:dyDescent="0.25">
      <c r="R1516" s="22"/>
      <c r="S1516" s="22"/>
      <c r="T1516" s="331"/>
      <c r="U1516" s="22"/>
      <c r="V1516" s="22"/>
      <c r="W1516" s="22"/>
      <c r="X1516" s="22"/>
      <c r="Y1516" s="22"/>
      <c r="Z1516" s="22"/>
      <c r="AA1516" s="22"/>
      <c r="AB1516" s="22"/>
      <c r="AC1516" s="41"/>
      <c r="AD1516" s="22"/>
    </row>
    <row r="1517" spans="18:30" x14ac:dyDescent="0.25">
      <c r="R1517" s="22"/>
      <c r="S1517" s="22"/>
      <c r="T1517" s="331"/>
      <c r="U1517" s="22"/>
      <c r="V1517" s="22"/>
      <c r="W1517" s="22"/>
      <c r="X1517" s="22"/>
      <c r="Y1517" s="22"/>
      <c r="Z1517" s="22"/>
      <c r="AA1517" s="22"/>
      <c r="AB1517" s="22"/>
      <c r="AC1517" s="41"/>
      <c r="AD1517" s="22"/>
    </row>
    <row r="1518" spans="18:30" x14ac:dyDescent="0.25">
      <c r="R1518" s="22"/>
      <c r="S1518" s="22"/>
      <c r="T1518" s="331"/>
      <c r="U1518" s="22"/>
      <c r="V1518" s="22"/>
      <c r="W1518" s="22"/>
      <c r="X1518" s="22"/>
      <c r="Y1518" s="22"/>
      <c r="Z1518" s="22"/>
      <c r="AA1518" s="22"/>
      <c r="AB1518" s="22"/>
      <c r="AC1518" s="41"/>
      <c r="AD1518" s="22"/>
    </row>
    <row r="1519" spans="18:30" x14ac:dyDescent="0.25">
      <c r="R1519" s="22"/>
      <c r="S1519" s="22"/>
      <c r="T1519" s="331"/>
      <c r="U1519" s="22"/>
      <c r="V1519" s="22"/>
      <c r="W1519" s="22"/>
      <c r="X1519" s="22"/>
      <c r="Y1519" s="22"/>
      <c r="Z1519" s="22"/>
      <c r="AA1519" s="22"/>
      <c r="AB1519" s="22"/>
      <c r="AC1519" s="41"/>
      <c r="AD1519" s="22"/>
    </row>
    <row r="1520" spans="18:30" x14ac:dyDescent="0.25">
      <c r="R1520" s="22"/>
      <c r="S1520" s="22"/>
      <c r="T1520" s="331"/>
      <c r="U1520" s="22"/>
      <c r="V1520" s="22"/>
      <c r="W1520" s="22"/>
      <c r="X1520" s="22"/>
      <c r="Y1520" s="22"/>
      <c r="Z1520" s="22"/>
      <c r="AA1520" s="22"/>
      <c r="AB1520" s="22"/>
      <c r="AC1520" s="41"/>
      <c r="AD1520" s="22"/>
    </row>
    <row r="1521" spans="18:30" x14ac:dyDescent="0.25">
      <c r="R1521" s="22"/>
      <c r="S1521" s="22"/>
      <c r="T1521" s="331"/>
      <c r="U1521" s="22"/>
      <c r="V1521" s="22"/>
      <c r="W1521" s="22"/>
      <c r="X1521" s="22"/>
      <c r="Y1521" s="22"/>
      <c r="Z1521" s="22"/>
      <c r="AA1521" s="22"/>
      <c r="AB1521" s="22"/>
      <c r="AC1521" s="41"/>
      <c r="AD1521" s="22"/>
    </row>
    <row r="1522" spans="18:30" x14ac:dyDescent="0.25">
      <c r="R1522" s="22"/>
      <c r="S1522" s="22"/>
      <c r="T1522" s="331"/>
      <c r="U1522" s="22"/>
      <c r="V1522" s="22"/>
      <c r="W1522" s="22"/>
      <c r="X1522" s="22"/>
      <c r="Y1522" s="22"/>
      <c r="Z1522" s="22"/>
      <c r="AA1522" s="22"/>
      <c r="AB1522" s="22"/>
      <c r="AC1522" s="41"/>
      <c r="AD1522" s="22"/>
    </row>
    <row r="1523" spans="18:30" x14ac:dyDescent="0.25">
      <c r="R1523" s="22"/>
      <c r="S1523" s="22"/>
      <c r="T1523" s="331"/>
      <c r="U1523" s="22"/>
      <c r="V1523" s="22"/>
      <c r="W1523" s="22"/>
      <c r="X1523" s="22"/>
      <c r="Y1523" s="22"/>
      <c r="Z1523" s="22"/>
      <c r="AA1523" s="22"/>
      <c r="AB1523" s="22"/>
      <c r="AC1523" s="41"/>
      <c r="AD1523" s="22"/>
    </row>
    <row r="1524" spans="18:30" x14ac:dyDescent="0.25">
      <c r="R1524" s="22"/>
      <c r="S1524" s="22"/>
      <c r="T1524" s="331"/>
      <c r="U1524" s="22"/>
      <c r="V1524" s="22"/>
      <c r="W1524" s="22"/>
      <c r="X1524" s="22"/>
      <c r="Y1524" s="22"/>
      <c r="Z1524" s="22"/>
      <c r="AA1524" s="22"/>
      <c r="AB1524" s="22"/>
      <c r="AC1524" s="41"/>
      <c r="AD1524" s="22"/>
    </row>
    <row r="1525" spans="18:30" x14ac:dyDescent="0.25">
      <c r="R1525" s="22"/>
      <c r="S1525" s="22"/>
      <c r="T1525" s="331"/>
      <c r="U1525" s="22"/>
      <c r="V1525" s="22"/>
      <c r="W1525" s="22"/>
      <c r="X1525" s="22"/>
      <c r="Y1525" s="22"/>
      <c r="Z1525" s="22"/>
      <c r="AA1525" s="22"/>
      <c r="AB1525" s="22"/>
      <c r="AC1525" s="41"/>
      <c r="AD1525" s="22"/>
    </row>
    <row r="1526" spans="18:30" x14ac:dyDescent="0.25">
      <c r="R1526" s="22"/>
      <c r="S1526" s="22"/>
      <c r="T1526" s="331"/>
      <c r="U1526" s="22"/>
      <c r="V1526" s="22"/>
      <c r="W1526" s="22"/>
      <c r="X1526" s="22"/>
      <c r="Y1526" s="22"/>
      <c r="Z1526" s="22"/>
      <c r="AA1526" s="22"/>
      <c r="AB1526" s="22"/>
      <c r="AC1526" s="41"/>
      <c r="AD1526" s="22"/>
    </row>
    <row r="1527" spans="18:30" x14ac:dyDescent="0.25">
      <c r="R1527" s="22"/>
      <c r="S1527" s="22"/>
      <c r="T1527" s="331"/>
      <c r="U1527" s="22"/>
      <c r="V1527" s="22"/>
      <c r="W1527" s="22"/>
      <c r="X1527" s="22"/>
      <c r="Y1527" s="22"/>
      <c r="Z1527" s="22"/>
      <c r="AA1527" s="22"/>
      <c r="AB1527" s="22"/>
      <c r="AC1527" s="41"/>
      <c r="AD1527" s="22"/>
    </row>
    <row r="1528" spans="18:30" x14ac:dyDescent="0.25">
      <c r="R1528" s="22"/>
      <c r="S1528" s="22"/>
      <c r="T1528" s="331"/>
      <c r="U1528" s="22"/>
      <c r="V1528" s="22"/>
      <c r="W1528" s="22"/>
      <c r="X1528" s="22"/>
      <c r="Y1528" s="22"/>
      <c r="Z1528" s="22"/>
      <c r="AA1528" s="22"/>
      <c r="AB1528" s="22"/>
      <c r="AC1528" s="41"/>
      <c r="AD1528" s="22"/>
    </row>
    <row r="1529" spans="18:30" x14ac:dyDescent="0.25">
      <c r="R1529" s="22"/>
      <c r="S1529" s="22"/>
      <c r="T1529" s="331"/>
      <c r="U1529" s="22"/>
      <c r="V1529" s="22"/>
      <c r="W1529" s="22"/>
      <c r="X1529" s="22"/>
      <c r="Y1529" s="22"/>
      <c r="Z1529" s="22"/>
      <c r="AA1529" s="22"/>
      <c r="AB1529" s="22"/>
      <c r="AC1529" s="41"/>
      <c r="AD1529" s="22"/>
    </row>
    <row r="1530" spans="18:30" x14ac:dyDescent="0.25">
      <c r="R1530" s="22"/>
      <c r="S1530" s="22"/>
      <c r="T1530" s="331"/>
      <c r="U1530" s="22"/>
      <c r="V1530" s="22"/>
      <c r="W1530" s="22"/>
      <c r="X1530" s="22"/>
      <c r="Y1530" s="22"/>
      <c r="Z1530" s="22"/>
      <c r="AA1530" s="22"/>
      <c r="AB1530" s="22"/>
      <c r="AC1530" s="41"/>
      <c r="AD1530" s="22"/>
    </row>
    <row r="1531" spans="18:30" x14ac:dyDescent="0.25">
      <c r="R1531" s="22"/>
      <c r="S1531" s="22"/>
      <c r="T1531" s="331"/>
      <c r="U1531" s="22"/>
      <c r="V1531" s="22"/>
      <c r="W1531" s="22"/>
      <c r="X1531" s="22"/>
      <c r="Y1531" s="22"/>
      <c r="Z1531" s="22"/>
      <c r="AA1531" s="22"/>
      <c r="AB1531" s="22"/>
      <c r="AC1531" s="41"/>
      <c r="AD1531" s="22"/>
    </row>
    <row r="1532" spans="18:30" x14ac:dyDescent="0.25">
      <c r="R1532" s="22"/>
      <c r="S1532" s="22"/>
      <c r="T1532" s="331"/>
      <c r="U1532" s="22"/>
      <c r="V1532" s="22"/>
      <c r="W1532" s="22"/>
      <c r="X1532" s="22"/>
      <c r="Y1532" s="22"/>
      <c r="Z1532" s="22"/>
      <c r="AA1532" s="22"/>
      <c r="AB1532" s="22"/>
      <c r="AC1532" s="41"/>
      <c r="AD1532" s="22"/>
    </row>
    <row r="1533" spans="18:30" x14ac:dyDescent="0.25">
      <c r="R1533" s="22"/>
      <c r="S1533" s="22"/>
      <c r="T1533" s="331"/>
      <c r="U1533" s="22"/>
      <c r="V1533" s="22"/>
      <c r="W1533" s="22"/>
      <c r="X1533" s="22"/>
      <c r="Y1533" s="22"/>
      <c r="Z1533" s="22"/>
      <c r="AA1533" s="22"/>
      <c r="AB1533" s="22"/>
      <c r="AC1533" s="41"/>
      <c r="AD1533" s="22"/>
    </row>
    <row r="1534" spans="18:30" x14ac:dyDescent="0.25">
      <c r="R1534" s="22"/>
      <c r="S1534" s="22"/>
      <c r="T1534" s="331"/>
      <c r="U1534" s="22"/>
      <c r="V1534" s="22"/>
      <c r="W1534" s="22"/>
      <c r="X1534" s="22"/>
      <c r="Y1534" s="22"/>
      <c r="Z1534" s="22"/>
      <c r="AA1534" s="22"/>
      <c r="AB1534" s="22"/>
      <c r="AC1534" s="41"/>
      <c r="AD1534" s="22"/>
    </row>
    <row r="1535" spans="18:30" x14ac:dyDescent="0.25">
      <c r="R1535" s="22"/>
      <c r="S1535" s="22"/>
      <c r="T1535" s="331"/>
      <c r="U1535" s="22"/>
      <c r="V1535" s="22"/>
      <c r="W1535" s="22"/>
      <c r="X1535" s="22"/>
      <c r="Y1535" s="22"/>
      <c r="Z1535" s="22"/>
      <c r="AA1535" s="22"/>
      <c r="AB1535" s="22"/>
      <c r="AC1535" s="41"/>
      <c r="AD1535" s="22"/>
    </row>
    <row r="1536" spans="18:30" x14ac:dyDescent="0.25">
      <c r="R1536" s="22"/>
      <c r="S1536" s="22"/>
      <c r="T1536" s="331"/>
      <c r="U1536" s="22"/>
      <c r="V1536" s="22"/>
      <c r="W1536" s="22"/>
      <c r="X1536" s="22"/>
      <c r="Y1536" s="22"/>
      <c r="Z1536" s="22"/>
      <c r="AA1536" s="22"/>
      <c r="AB1536" s="22"/>
      <c r="AC1536" s="41"/>
      <c r="AD1536" s="22"/>
    </row>
    <row r="1537" spans="18:30" x14ac:dyDescent="0.25">
      <c r="R1537" s="22"/>
      <c r="S1537" s="22"/>
      <c r="T1537" s="331"/>
      <c r="U1537" s="22"/>
      <c r="V1537" s="22"/>
      <c r="W1537" s="22"/>
      <c r="X1537" s="22"/>
      <c r="Y1537" s="22"/>
      <c r="Z1537" s="22"/>
      <c r="AA1537" s="22"/>
      <c r="AB1537" s="22"/>
      <c r="AC1537" s="41"/>
      <c r="AD1537" s="22"/>
    </row>
    <row r="1538" spans="18:30" x14ac:dyDescent="0.25">
      <c r="R1538" s="22"/>
      <c r="S1538" s="22"/>
      <c r="T1538" s="331"/>
      <c r="U1538" s="22"/>
      <c r="V1538" s="22"/>
      <c r="W1538" s="22"/>
      <c r="X1538" s="22"/>
      <c r="Y1538" s="22"/>
      <c r="Z1538" s="22"/>
      <c r="AA1538" s="22"/>
      <c r="AB1538" s="22"/>
      <c r="AC1538" s="41"/>
      <c r="AD1538" s="22"/>
    </row>
    <row r="1539" spans="18:30" x14ac:dyDescent="0.25">
      <c r="R1539" s="22"/>
      <c r="S1539" s="22"/>
      <c r="T1539" s="331"/>
      <c r="U1539" s="22"/>
      <c r="V1539" s="22"/>
      <c r="W1539" s="22"/>
      <c r="X1539" s="22"/>
      <c r="Y1539" s="22"/>
      <c r="Z1539" s="22"/>
      <c r="AA1539" s="22"/>
      <c r="AB1539" s="22"/>
      <c r="AC1539" s="41"/>
      <c r="AD1539" s="22"/>
    </row>
    <row r="1540" spans="18:30" x14ac:dyDescent="0.25">
      <c r="R1540" s="22"/>
      <c r="S1540" s="22"/>
      <c r="T1540" s="331"/>
      <c r="U1540" s="22"/>
      <c r="V1540" s="22"/>
      <c r="W1540" s="22"/>
      <c r="X1540" s="22"/>
      <c r="Y1540" s="22"/>
      <c r="Z1540" s="22"/>
      <c r="AA1540" s="22"/>
      <c r="AB1540" s="22"/>
      <c r="AC1540" s="41"/>
      <c r="AD1540" s="22"/>
    </row>
    <row r="1541" spans="18:30" x14ac:dyDescent="0.25">
      <c r="R1541" s="22"/>
      <c r="S1541" s="22"/>
      <c r="T1541" s="331"/>
      <c r="U1541" s="22"/>
      <c r="V1541" s="22"/>
      <c r="W1541" s="22"/>
      <c r="X1541" s="22"/>
      <c r="Y1541" s="22"/>
      <c r="Z1541" s="22"/>
      <c r="AA1541" s="22"/>
      <c r="AB1541" s="22"/>
      <c r="AC1541" s="41"/>
      <c r="AD1541" s="22"/>
    </row>
    <row r="1542" spans="18:30" x14ac:dyDescent="0.25">
      <c r="R1542" s="22"/>
      <c r="S1542" s="22"/>
      <c r="T1542" s="331"/>
      <c r="U1542" s="22"/>
      <c r="V1542" s="22"/>
      <c r="W1542" s="22"/>
      <c r="X1542" s="22"/>
      <c r="Y1542" s="22"/>
      <c r="Z1542" s="22"/>
      <c r="AA1542" s="22"/>
      <c r="AB1542" s="22"/>
      <c r="AC1542" s="41"/>
      <c r="AD1542" s="22"/>
    </row>
    <row r="1543" spans="18:30" x14ac:dyDescent="0.25">
      <c r="R1543" s="22"/>
      <c r="S1543" s="22"/>
      <c r="T1543" s="331"/>
      <c r="U1543" s="22"/>
      <c r="V1543" s="22"/>
      <c r="W1543" s="22"/>
      <c r="X1543" s="22"/>
      <c r="Y1543" s="22"/>
      <c r="Z1543" s="22"/>
      <c r="AA1543" s="22"/>
      <c r="AB1543" s="22"/>
      <c r="AC1543" s="41"/>
      <c r="AD1543" s="22"/>
    </row>
    <row r="1544" spans="18:30" x14ac:dyDescent="0.25">
      <c r="R1544" s="22"/>
      <c r="S1544" s="22"/>
      <c r="T1544" s="331"/>
      <c r="U1544" s="22"/>
      <c r="V1544" s="22"/>
      <c r="W1544" s="22"/>
      <c r="X1544" s="22"/>
      <c r="Y1544" s="22"/>
      <c r="Z1544" s="22"/>
      <c r="AA1544" s="22"/>
      <c r="AB1544" s="22"/>
      <c r="AC1544" s="41"/>
      <c r="AD1544" s="22"/>
    </row>
    <row r="1545" spans="18:30" x14ac:dyDescent="0.25">
      <c r="R1545" s="22"/>
      <c r="S1545" s="22"/>
      <c r="T1545" s="331"/>
      <c r="U1545" s="22"/>
      <c r="V1545" s="22"/>
      <c r="W1545" s="22"/>
      <c r="X1545" s="22"/>
      <c r="Y1545" s="22"/>
      <c r="Z1545" s="22"/>
      <c r="AA1545" s="22"/>
      <c r="AB1545" s="22"/>
      <c r="AC1545" s="41"/>
      <c r="AD1545" s="22"/>
    </row>
    <row r="1546" spans="18:30" x14ac:dyDescent="0.25">
      <c r="R1546" s="22"/>
      <c r="S1546" s="22"/>
      <c r="T1546" s="331"/>
      <c r="U1546" s="22"/>
      <c r="V1546" s="22"/>
      <c r="W1546" s="22"/>
      <c r="X1546" s="22"/>
      <c r="Y1546" s="22"/>
      <c r="Z1546" s="22"/>
      <c r="AA1546" s="22"/>
      <c r="AB1546" s="22"/>
      <c r="AC1546" s="41"/>
      <c r="AD1546" s="22"/>
    </row>
    <row r="1547" spans="18:30" x14ac:dyDescent="0.25">
      <c r="R1547" s="22"/>
      <c r="S1547" s="22"/>
      <c r="T1547" s="331"/>
      <c r="U1547" s="22"/>
      <c r="V1547" s="22"/>
      <c r="W1547" s="22"/>
      <c r="X1547" s="22"/>
      <c r="Y1547" s="22"/>
      <c r="Z1547" s="22"/>
      <c r="AA1547" s="22"/>
      <c r="AB1547" s="22"/>
      <c r="AC1547" s="41"/>
      <c r="AD1547" s="22"/>
    </row>
    <row r="1548" spans="18:30" x14ac:dyDescent="0.25">
      <c r="R1548" s="22"/>
      <c r="S1548" s="22"/>
      <c r="T1548" s="331"/>
      <c r="U1548" s="22"/>
      <c r="V1548" s="22"/>
      <c r="W1548" s="22"/>
      <c r="X1548" s="22"/>
      <c r="Y1548" s="22"/>
      <c r="Z1548" s="22"/>
      <c r="AA1548" s="22"/>
      <c r="AB1548" s="22"/>
      <c r="AC1548" s="41"/>
      <c r="AD1548" s="22"/>
    </row>
    <row r="1549" spans="18:30" x14ac:dyDescent="0.25">
      <c r="R1549" s="22"/>
      <c r="S1549" s="22"/>
      <c r="T1549" s="331"/>
      <c r="U1549" s="22"/>
      <c r="V1549" s="22"/>
      <c r="W1549" s="22"/>
      <c r="X1549" s="22"/>
      <c r="Y1549" s="22"/>
      <c r="Z1549" s="22"/>
      <c r="AA1549" s="22"/>
      <c r="AB1549" s="22"/>
      <c r="AC1549" s="41"/>
      <c r="AD1549" s="22"/>
    </row>
    <row r="1550" spans="18:30" x14ac:dyDescent="0.25">
      <c r="R1550" s="22"/>
      <c r="S1550" s="22"/>
      <c r="T1550" s="331"/>
      <c r="U1550" s="22"/>
      <c r="V1550" s="22"/>
      <c r="W1550" s="22"/>
      <c r="X1550" s="22"/>
      <c r="Y1550" s="22"/>
      <c r="Z1550" s="22"/>
      <c r="AA1550" s="22"/>
      <c r="AB1550" s="22"/>
      <c r="AC1550" s="41"/>
      <c r="AD1550" s="22"/>
    </row>
    <row r="1551" spans="18:30" x14ac:dyDescent="0.25">
      <c r="R1551" s="22"/>
      <c r="S1551" s="22"/>
      <c r="T1551" s="331"/>
      <c r="U1551" s="22"/>
      <c r="V1551" s="22"/>
      <c r="W1551" s="22"/>
      <c r="X1551" s="22"/>
      <c r="Y1551" s="22"/>
      <c r="Z1551" s="22"/>
      <c r="AA1551" s="22"/>
      <c r="AB1551" s="22"/>
      <c r="AC1551" s="41"/>
      <c r="AD1551" s="22"/>
    </row>
    <row r="1552" spans="18:30" x14ac:dyDescent="0.25">
      <c r="R1552" s="22"/>
      <c r="S1552" s="22"/>
      <c r="T1552" s="331"/>
      <c r="U1552" s="22"/>
      <c r="V1552" s="22"/>
      <c r="W1552" s="22"/>
      <c r="X1552" s="22"/>
      <c r="Y1552" s="22"/>
      <c r="Z1552" s="22"/>
      <c r="AA1552" s="22"/>
      <c r="AB1552" s="22"/>
      <c r="AC1552" s="41"/>
      <c r="AD1552" s="22"/>
    </row>
    <row r="1553" spans="18:30" x14ac:dyDescent="0.25">
      <c r="R1553" s="22"/>
      <c r="S1553" s="22"/>
      <c r="T1553" s="331"/>
      <c r="U1553" s="22"/>
      <c r="V1553" s="22"/>
      <c r="W1553" s="22"/>
      <c r="X1553" s="22"/>
      <c r="Y1553" s="22"/>
      <c r="Z1553" s="22"/>
      <c r="AA1553" s="22"/>
      <c r="AB1553" s="22"/>
      <c r="AC1553" s="41"/>
      <c r="AD1553" s="22"/>
    </row>
    <row r="1554" spans="18:30" x14ac:dyDescent="0.25">
      <c r="R1554" s="22"/>
      <c r="S1554" s="22"/>
      <c r="T1554" s="331"/>
      <c r="U1554" s="22"/>
      <c r="V1554" s="22"/>
      <c r="W1554" s="22"/>
      <c r="X1554" s="22"/>
      <c r="Y1554" s="22"/>
      <c r="Z1554" s="22"/>
      <c r="AA1554" s="22"/>
      <c r="AB1554" s="22"/>
      <c r="AC1554" s="41"/>
      <c r="AD1554" s="22"/>
    </row>
    <row r="1555" spans="18:30" x14ac:dyDescent="0.25">
      <c r="R1555" s="22"/>
      <c r="S1555" s="22"/>
      <c r="T1555" s="331"/>
      <c r="U1555" s="22"/>
      <c r="V1555" s="22"/>
      <c r="W1555" s="22"/>
      <c r="X1555" s="22"/>
      <c r="Y1555" s="22"/>
      <c r="Z1555" s="22"/>
      <c r="AA1555" s="22"/>
      <c r="AB1555" s="22"/>
      <c r="AC1555" s="41"/>
      <c r="AD1555" s="22"/>
    </row>
    <row r="1556" spans="18:30" x14ac:dyDescent="0.25">
      <c r="R1556" s="22"/>
      <c r="S1556" s="22"/>
      <c r="T1556" s="331"/>
      <c r="U1556" s="22"/>
      <c r="V1556" s="22"/>
      <c r="W1556" s="22"/>
      <c r="X1556" s="22"/>
      <c r="Y1556" s="22"/>
      <c r="Z1556" s="22"/>
      <c r="AA1556" s="22"/>
      <c r="AB1556" s="22"/>
      <c r="AC1556" s="41"/>
      <c r="AD1556" s="22"/>
    </row>
    <row r="1557" spans="18:30" x14ac:dyDescent="0.25">
      <c r="R1557" s="22"/>
      <c r="S1557" s="22"/>
      <c r="T1557" s="331"/>
      <c r="U1557" s="22"/>
      <c r="V1557" s="22"/>
      <c r="W1557" s="22"/>
      <c r="X1557" s="22"/>
      <c r="Y1557" s="22"/>
      <c r="Z1557" s="22"/>
      <c r="AA1557" s="22"/>
      <c r="AB1557" s="22"/>
      <c r="AC1557" s="41"/>
      <c r="AD1557" s="22"/>
    </row>
    <row r="1558" spans="18:30" x14ac:dyDescent="0.25">
      <c r="R1558" s="22"/>
      <c r="S1558" s="22"/>
      <c r="T1558" s="331"/>
      <c r="U1558" s="22"/>
      <c r="V1558" s="22"/>
      <c r="W1558" s="22"/>
      <c r="X1558" s="22"/>
      <c r="Y1558" s="22"/>
      <c r="Z1558" s="22"/>
      <c r="AA1558" s="22"/>
      <c r="AB1558" s="22"/>
      <c r="AC1558" s="41"/>
      <c r="AD1558" s="22"/>
    </row>
    <row r="1559" spans="18:30" x14ac:dyDescent="0.25">
      <c r="R1559" s="22"/>
      <c r="S1559" s="22"/>
      <c r="T1559" s="331"/>
      <c r="U1559" s="22"/>
      <c r="V1559" s="22"/>
      <c r="W1559" s="22"/>
      <c r="X1559" s="22"/>
      <c r="Y1559" s="22"/>
      <c r="Z1559" s="22"/>
      <c r="AA1559" s="22"/>
      <c r="AB1559" s="22"/>
      <c r="AC1559" s="41"/>
      <c r="AD1559" s="22"/>
    </row>
    <row r="1560" spans="18:30" x14ac:dyDescent="0.25">
      <c r="R1560" s="22"/>
      <c r="S1560" s="22"/>
      <c r="T1560" s="331"/>
      <c r="U1560" s="22"/>
      <c r="V1560" s="22"/>
      <c r="W1560" s="22"/>
      <c r="X1560" s="22"/>
      <c r="Y1560" s="22"/>
      <c r="Z1560" s="22"/>
      <c r="AA1560" s="22"/>
      <c r="AB1560" s="22"/>
      <c r="AC1560" s="41"/>
      <c r="AD1560" s="22"/>
    </row>
    <row r="1561" spans="18:30" x14ac:dyDescent="0.25">
      <c r="R1561" s="22"/>
      <c r="S1561" s="22"/>
      <c r="T1561" s="331"/>
      <c r="U1561" s="22"/>
      <c r="V1561" s="22"/>
      <c r="W1561" s="22"/>
      <c r="X1561" s="22"/>
      <c r="Y1561" s="22"/>
      <c r="Z1561" s="22"/>
      <c r="AA1561" s="22"/>
      <c r="AB1561" s="22"/>
      <c r="AC1561" s="41"/>
      <c r="AD1561" s="22"/>
    </row>
    <row r="1562" spans="18:30" x14ac:dyDescent="0.25">
      <c r="R1562" s="22"/>
      <c r="S1562" s="22"/>
      <c r="T1562" s="331"/>
      <c r="U1562" s="22"/>
      <c r="V1562" s="22"/>
      <c r="W1562" s="22"/>
      <c r="X1562" s="22"/>
      <c r="Y1562" s="22"/>
      <c r="Z1562" s="22"/>
      <c r="AA1562" s="22"/>
      <c r="AB1562" s="22"/>
      <c r="AC1562" s="41"/>
      <c r="AD1562" s="22"/>
    </row>
    <row r="1563" spans="18:30" x14ac:dyDescent="0.25">
      <c r="R1563" s="22"/>
      <c r="S1563" s="22"/>
      <c r="T1563" s="331"/>
      <c r="U1563" s="22"/>
      <c r="V1563" s="22"/>
      <c r="W1563" s="22"/>
      <c r="X1563" s="22"/>
      <c r="Y1563" s="22"/>
      <c r="Z1563" s="22"/>
      <c r="AA1563" s="22"/>
      <c r="AB1563" s="22"/>
      <c r="AC1563" s="41"/>
      <c r="AD1563" s="22"/>
    </row>
    <row r="1564" spans="18:30" x14ac:dyDescent="0.25">
      <c r="R1564" s="22"/>
      <c r="S1564" s="22"/>
      <c r="T1564" s="331"/>
      <c r="U1564" s="22"/>
      <c r="V1564" s="22"/>
      <c r="W1564" s="22"/>
      <c r="X1564" s="22"/>
      <c r="Y1564" s="22"/>
      <c r="Z1564" s="22"/>
      <c r="AA1564" s="22"/>
      <c r="AB1564" s="22"/>
      <c r="AC1564" s="41"/>
      <c r="AD1564" s="22"/>
    </row>
    <row r="1565" spans="18:30" x14ac:dyDescent="0.25">
      <c r="R1565" s="22"/>
      <c r="S1565" s="22"/>
      <c r="T1565" s="331"/>
      <c r="U1565" s="22"/>
      <c r="V1565" s="22"/>
      <c r="W1565" s="22"/>
      <c r="X1565" s="22"/>
      <c r="Y1565" s="22"/>
      <c r="Z1565" s="22"/>
      <c r="AA1565" s="22"/>
      <c r="AB1565" s="22"/>
      <c r="AC1565" s="41"/>
      <c r="AD1565" s="22"/>
    </row>
    <row r="1566" spans="18:30" x14ac:dyDescent="0.25">
      <c r="R1566" s="22"/>
      <c r="S1566" s="22"/>
      <c r="T1566" s="331"/>
      <c r="U1566" s="22"/>
      <c r="V1566" s="22"/>
      <c r="W1566" s="22"/>
      <c r="X1566" s="22"/>
      <c r="Y1566" s="22"/>
      <c r="Z1566" s="22"/>
      <c r="AA1566" s="22"/>
      <c r="AB1566" s="22"/>
      <c r="AC1566" s="41"/>
      <c r="AD1566" s="22"/>
    </row>
    <row r="1567" spans="18:30" x14ac:dyDescent="0.25">
      <c r="R1567" s="22"/>
      <c r="S1567" s="22"/>
      <c r="T1567" s="331"/>
      <c r="U1567" s="22"/>
      <c r="V1567" s="22"/>
      <c r="W1567" s="22"/>
      <c r="X1567" s="22"/>
      <c r="Y1567" s="22"/>
      <c r="Z1567" s="22"/>
      <c r="AA1567" s="22"/>
      <c r="AB1567" s="22"/>
      <c r="AC1567" s="41"/>
      <c r="AD1567" s="22"/>
    </row>
    <row r="1568" spans="18:30" x14ac:dyDescent="0.25">
      <c r="R1568" s="22"/>
      <c r="S1568" s="22"/>
      <c r="T1568" s="331"/>
      <c r="U1568" s="22"/>
      <c r="V1568" s="22"/>
      <c r="W1568" s="22"/>
      <c r="X1568" s="22"/>
      <c r="Y1568" s="22"/>
      <c r="Z1568" s="22"/>
      <c r="AA1568" s="22"/>
      <c r="AB1568" s="22"/>
      <c r="AC1568" s="41"/>
      <c r="AD1568" s="22"/>
    </row>
    <row r="1569" spans="18:30" x14ac:dyDescent="0.25">
      <c r="R1569" s="22"/>
      <c r="S1569" s="22"/>
      <c r="T1569" s="331"/>
      <c r="U1569" s="22"/>
      <c r="V1569" s="22"/>
      <c r="W1569" s="22"/>
      <c r="X1569" s="22"/>
      <c r="Y1569" s="22"/>
      <c r="Z1569" s="22"/>
      <c r="AA1569" s="22"/>
      <c r="AB1569" s="22"/>
      <c r="AC1569" s="41"/>
      <c r="AD1569" s="22"/>
    </row>
    <row r="1570" spans="18:30" x14ac:dyDescent="0.25">
      <c r="R1570" s="22"/>
      <c r="S1570" s="22"/>
      <c r="T1570" s="331"/>
      <c r="U1570" s="22"/>
      <c r="V1570" s="22"/>
      <c r="W1570" s="22"/>
      <c r="X1570" s="22"/>
      <c r="Y1570" s="22"/>
      <c r="Z1570" s="22"/>
      <c r="AA1570" s="22"/>
      <c r="AB1570" s="22"/>
      <c r="AC1570" s="41"/>
      <c r="AD1570" s="22"/>
    </row>
    <row r="1571" spans="18:30" x14ac:dyDescent="0.25">
      <c r="R1571" s="22"/>
      <c r="S1571" s="22"/>
      <c r="T1571" s="331"/>
      <c r="U1571" s="22"/>
      <c r="V1571" s="22"/>
      <c r="W1571" s="22"/>
      <c r="X1571" s="22"/>
      <c r="Y1571" s="22"/>
      <c r="Z1571" s="22"/>
      <c r="AA1571" s="22"/>
      <c r="AB1571" s="22"/>
      <c r="AC1571" s="41"/>
      <c r="AD1571" s="22"/>
    </row>
    <row r="1572" spans="18:30" x14ac:dyDescent="0.25">
      <c r="R1572" s="22"/>
      <c r="S1572" s="22"/>
      <c r="T1572" s="331"/>
      <c r="U1572" s="22"/>
      <c r="V1572" s="22"/>
      <c r="W1572" s="22"/>
      <c r="X1572" s="22"/>
      <c r="Y1572" s="22"/>
      <c r="Z1572" s="22"/>
      <c r="AA1572" s="22"/>
      <c r="AB1572" s="22"/>
      <c r="AC1572" s="41"/>
      <c r="AD1572" s="22"/>
    </row>
    <row r="1573" spans="18:30" x14ac:dyDescent="0.25">
      <c r="R1573" s="22"/>
      <c r="S1573" s="22"/>
      <c r="T1573" s="331"/>
      <c r="U1573" s="22"/>
      <c r="V1573" s="22"/>
      <c r="W1573" s="22"/>
      <c r="X1573" s="22"/>
      <c r="Y1573" s="22"/>
      <c r="Z1573" s="22"/>
      <c r="AA1573" s="22"/>
      <c r="AB1573" s="22"/>
      <c r="AC1573" s="41"/>
      <c r="AD1573" s="22"/>
    </row>
    <row r="1574" spans="18:30" x14ac:dyDescent="0.25">
      <c r="R1574" s="22"/>
      <c r="S1574" s="22"/>
      <c r="T1574" s="331"/>
      <c r="U1574" s="22"/>
      <c r="V1574" s="22"/>
      <c r="W1574" s="22"/>
      <c r="X1574" s="22"/>
      <c r="Y1574" s="22"/>
      <c r="Z1574" s="22"/>
      <c r="AA1574" s="22"/>
      <c r="AB1574" s="22"/>
      <c r="AC1574" s="41"/>
      <c r="AD1574" s="22"/>
    </row>
    <row r="1575" spans="18:30" x14ac:dyDescent="0.25">
      <c r="R1575" s="22"/>
      <c r="S1575" s="22"/>
      <c r="T1575" s="331"/>
      <c r="U1575" s="22"/>
      <c r="V1575" s="22"/>
      <c r="W1575" s="22"/>
      <c r="X1575" s="22"/>
      <c r="Y1575" s="22"/>
      <c r="Z1575" s="22"/>
      <c r="AA1575" s="22"/>
      <c r="AB1575" s="22"/>
      <c r="AC1575" s="41"/>
      <c r="AD1575" s="22"/>
    </row>
    <row r="1576" spans="18:30" x14ac:dyDescent="0.25">
      <c r="R1576" s="22"/>
      <c r="S1576" s="22"/>
      <c r="T1576" s="331"/>
      <c r="U1576" s="22"/>
      <c r="V1576" s="22"/>
      <c r="W1576" s="22"/>
      <c r="X1576" s="22"/>
      <c r="Y1576" s="22"/>
      <c r="Z1576" s="22"/>
      <c r="AA1576" s="22"/>
      <c r="AB1576" s="22"/>
      <c r="AC1576" s="41"/>
      <c r="AD1576" s="22"/>
    </row>
    <row r="1577" spans="18:30" x14ac:dyDescent="0.25">
      <c r="R1577" s="22"/>
      <c r="S1577" s="22"/>
      <c r="T1577" s="331"/>
      <c r="U1577" s="22"/>
      <c r="V1577" s="22"/>
      <c r="W1577" s="22"/>
      <c r="X1577" s="22"/>
      <c r="Y1577" s="22"/>
      <c r="Z1577" s="22"/>
      <c r="AA1577" s="22"/>
      <c r="AB1577" s="22"/>
      <c r="AC1577" s="41"/>
      <c r="AD1577" s="22"/>
    </row>
    <row r="1578" spans="18:30" x14ac:dyDescent="0.25">
      <c r="R1578" s="22"/>
      <c r="S1578" s="22"/>
      <c r="T1578" s="331"/>
      <c r="U1578" s="22"/>
      <c r="V1578" s="22"/>
      <c r="W1578" s="22"/>
      <c r="X1578" s="22"/>
      <c r="Y1578" s="22"/>
      <c r="Z1578" s="22"/>
      <c r="AA1578" s="22"/>
      <c r="AB1578" s="22"/>
      <c r="AC1578" s="41"/>
      <c r="AD1578" s="22"/>
    </row>
    <row r="1579" spans="18:30" x14ac:dyDescent="0.25">
      <c r="R1579" s="22"/>
      <c r="S1579" s="22"/>
      <c r="T1579" s="331"/>
      <c r="U1579" s="22"/>
      <c r="V1579" s="22"/>
      <c r="W1579" s="22"/>
      <c r="X1579" s="22"/>
      <c r="Y1579" s="22"/>
      <c r="Z1579" s="22"/>
      <c r="AA1579" s="22"/>
      <c r="AB1579" s="22"/>
      <c r="AC1579" s="41"/>
      <c r="AD1579" s="22"/>
    </row>
    <row r="1580" spans="18:30" x14ac:dyDescent="0.25">
      <c r="R1580" s="22"/>
      <c r="S1580" s="22"/>
      <c r="T1580" s="331"/>
      <c r="U1580" s="22"/>
      <c r="V1580" s="22"/>
      <c r="W1580" s="22"/>
      <c r="X1580" s="22"/>
      <c r="Y1580" s="22"/>
      <c r="Z1580" s="22"/>
      <c r="AA1580" s="22"/>
      <c r="AB1580" s="22"/>
      <c r="AC1580" s="41"/>
      <c r="AD1580" s="22"/>
    </row>
    <row r="1581" spans="18:30" x14ac:dyDescent="0.25">
      <c r="R1581" s="22"/>
      <c r="S1581" s="22"/>
      <c r="T1581" s="331"/>
      <c r="U1581" s="22"/>
      <c r="V1581" s="22"/>
      <c r="W1581" s="22"/>
      <c r="X1581" s="22"/>
      <c r="Y1581" s="22"/>
      <c r="Z1581" s="22"/>
      <c r="AA1581" s="22"/>
      <c r="AB1581" s="22"/>
      <c r="AC1581" s="41"/>
      <c r="AD1581" s="22"/>
    </row>
    <row r="1582" spans="18:30" x14ac:dyDescent="0.25">
      <c r="R1582" s="22"/>
      <c r="S1582" s="22"/>
      <c r="T1582" s="331"/>
      <c r="U1582" s="22"/>
      <c r="V1582" s="22"/>
      <c r="W1582" s="22"/>
      <c r="X1582" s="22"/>
      <c r="Y1582" s="22"/>
      <c r="Z1582" s="22"/>
      <c r="AA1582" s="22"/>
      <c r="AB1582" s="22"/>
      <c r="AC1582" s="41"/>
      <c r="AD1582" s="22"/>
    </row>
    <row r="1583" spans="18:30" x14ac:dyDescent="0.25">
      <c r="R1583" s="22"/>
      <c r="S1583" s="22"/>
      <c r="T1583" s="331"/>
      <c r="U1583" s="22"/>
      <c r="V1583" s="22"/>
      <c r="W1583" s="22"/>
      <c r="X1583" s="22"/>
      <c r="Y1583" s="22"/>
      <c r="Z1583" s="22"/>
      <c r="AA1583" s="22"/>
      <c r="AB1583" s="22"/>
      <c r="AC1583" s="41"/>
      <c r="AD1583" s="22"/>
    </row>
    <row r="1584" spans="18:30" x14ac:dyDescent="0.25">
      <c r="R1584" s="22"/>
      <c r="S1584" s="22"/>
      <c r="T1584" s="331"/>
      <c r="U1584" s="22"/>
      <c r="V1584" s="22"/>
      <c r="W1584" s="22"/>
      <c r="X1584" s="22"/>
      <c r="Y1584" s="22"/>
      <c r="Z1584" s="22"/>
      <c r="AA1584" s="22"/>
      <c r="AB1584" s="22"/>
      <c r="AC1584" s="41"/>
      <c r="AD1584" s="22"/>
    </row>
    <row r="1585" spans="18:30" x14ac:dyDescent="0.25">
      <c r="R1585" s="22"/>
      <c r="S1585" s="22"/>
      <c r="T1585" s="331"/>
      <c r="U1585" s="22"/>
      <c r="V1585" s="22"/>
      <c r="W1585" s="22"/>
      <c r="X1585" s="22"/>
      <c r="Y1585" s="22"/>
      <c r="Z1585" s="22"/>
      <c r="AA1585" s="22"/>
      <c r="AB1585" s="22"/>
      <c r="AC1585" s="41"/>
      <c r="AD1585" s="22"/>
    </row>
    <row r="1586" spans="18:30" x14ac:dyDescent="0.25">
      <c r="R1586" s="22"/>
      <c r="S1586" s="22"/>
      <c r="T1586" s="331"/>
      <c r="U1586" s="22"/>
      <c r="V1586" s="22"/>
      <c r="W1586" s="22"/>
      <c r="X1586" s="22"/>
      <c r="Y1586" s="22"/>
      <c r="Z1586" s="22"/>
      <c r="AA1586" s="22"/>
      <c r="AB1586" s="22"/>
      <c r="AC1586" s="41"/>
      <c r="AD1586" s="22"/>
    </row>
    <row r="1587" spans="18:30" x14ac:dyDescent="0.25">
      <c r="R1587" s="22"/>
      <c r="S1587" s="22"/>
      <c r="T1587" s="331"/>
      <c r="U1587" s="22"/>
      <c r="V1587" s="22"/>
      <c r="W1587" s="22"/>
      <c r="X1587" s="22"/>
      <c r="Y1587" s="22"/>
      <c r="Z1587" s="22"/>
      <c r="AA1587" s="22"/>
      <c r="AB1587" s="22"/>
      <c r="AC1587" s="41"/>
      <c r="AD1587" s="22"/>
    </row>
    <row r="1588" spans="18:30" x14ac:dyDescent="0.25">
      <c r="R1588" s="22"/>
      <c r="S1588" s="22"/>
      <c r="T1588" s="331"/>
      <c r="U1588" s="22"/>
      <c r="V1588" s="22"/>
      <c r="W1588" s="22"/>
      <c r="X1588" s="22"/>
      <c r="Y1588" s="22"/>
      <c r="Z1588" s="22"/>
      <c r="AA1588" s="22"/>
      <c r="AB1588" s="22"/>
      <c r="AC1588" s="41"/>
      <c r="AD1588" s="22"/>
    </row>
    <row r="1589" spans="18:30" x14ac:dyDescent="0.25">
      <c r="R1589" s="22"/>
      <c r="S1589" s="22"/>
      <c r="T1589" s="331"/>
      <c r="U1589" s="22"/>
      <c r="V1589" s="22"/>
      <c r="W1589" s="22"/>
      <c r="X1589" s="22"/>
      <c r="Y1589" s="22"/>
      <c r="Z1589" s="22"/>
      <c r="AA1589" s="22"/>
      <c r="AB1589" s="22"/>
      <c r="AC1589" s="41"/>
      <c r="AD1589" s="22"/>
    </row>
    <row r="1590" spans="18:30" x14ac:dyDescent="0.25">
      <c r="R1590" s="22"/>
      <c r="S1590" s="22"/>
      <c r="T1590" s="331"/>
      <c r="U1590" s="22"/>
      <c r="V1590" s="22"/>
      <c r="W1590" s="22"/>
      <c r="X1590" s="22"/>
      <c r="Y1590" s="22"/>
      <c r="Z1590" s="22"/>
      <c r="AA1590" s="22"/>
      <c r="AB1590" s="22"/>
      <c r="AC1590" s="41"/>
      <c r="AD1590" s="22"/>
    </row>
    <row r="1591" spans="18:30" x14ac:dyDescent="0.25">
      <c r="R1591" s="22"/>
      <c r="S1591" s="22"/>
      <c r="T1591" s="331"/>
      <c r="U1591" s="22"/>
      <c r="V1591" s="22"/>
      <c r="W1591" s="22"/>
      <c r="X1591" s="22"/>
      <c r="Y1591" s="22"/>
      <c r="Z1591" s="22"/>
      <c r="AA1591" s="22"/>
      <c r="AB1591" s="22"/>
      <c r="AC1591" s="41"/>
      <c r="AD1591" s="22"/>
    </row>
    <row r="1592" spans="18:30" x14ac:dyDescent="0.25">
      <c r="R1592" s="22"/>
      <c r="S1592" s="22"/>
      <c r="T1592" s="331"/>
      <c r="U1592" s="22"/>
      <c r="V1592" s="22"/>
      <c r="W1592" s="22"/>
      <c r="X1592" s="22"/>
      <c r="Y1592" s="22"/>
      <c r="Z1592" s="22"/>
      <c r="AA1592" s="22"/>
      <c r="AB1592" s="22"/>
      <c r="AC1592" s="41"/>
      <c r="AD1592" s="22"/>
    </row>
    <row r="1593" spans="18:30" x14ac:dyDescent="0.25">
      <c r="R1593" s="22"/>
      <c r="S1593" s="22"/>
      <c r="T1593" s="331"/>
      <c r="U1593" s="22"/>
      <c r="V1593" s="22"/>
      <c r="W1593" s="22"/>
      <c r="X1593" s="22"/>
      <c r="Y1593" s="22"/>
      <c r="Z1593" s="22"/>
      <c r="AA1593" s="22"/>
      <c r="AB1593" s="22"/>
      <c r="AC1593" s="41"/>
      <c r="AD1593" s="22"/>
    </row>
    <row r="1594" spans="18:30" x14ac:dyDescent="0.25">
      <c r="R1594" s="22"/>
      <c r="S1594" s="22"/>
      <c r="T1594" s="331"/>
      <c r="U1594" s="22"/>
      <c r="V1594" s="22"/>
      <c r="W1594" s="22"/>
      <c r="X1594" s="22"/>
      <c r="Y1594" s="22"/>
      <c r="Z1594" s="22"/>
      <c r="AA1594" s="22"/>
      <c r="AB1594" s="22"/>
      <c r="AC1594" s="41"/>
      <c r="AD1594" s="22"/>
    </row>
    <row r="1595" spans="18:30" x14ac:dyDescent="0.25">
      <c r="R1595" s="22"/>
      <c r="S1595" s="22"/>
      <c r="T1595" s="331"/>
      <c r="U1595" s="22"/>
      <c r="V1595" s="22"/>
      <c r="W1595" s="22"/>
      <c r="X1595" s="22"/>
      <c r="Y1595" s="22"/>
      <c r="Z1595" s="22"/>
      <c r="AA1595" s="22"/>
      <c r="AB1595" s="22"/>
      <c r="AC1595" s="41"/>
      <c r="AD1595" s="22"/>
    </row>
    <row r="1596" spans="18:30" x14ac:dyDescent="0.25">
      <c r="R1596" s="22"/>
      <c r="S1596" s="22"/>
      <c r="T1596" s="331"/>
      <c r="U1596" s="22"/>
      <c r="V1596" s="22"/>
      <c r="W1596" s="22"/>
      <c r="X1596" s="22"/>
      <c r="Y1596" s="22"/>
      <c r="Z1596" s="22"/>
      <c r="AA1596" s="22"/>
      <c r="AB1596" s="22"/>
      <c r="AC1596" s="41"/>
      <c r="AD1596" s="22"/>
    </row>
    <row r="1597" spans="18:30" x14ac:dyDescent="0.25">
      <c r="R1597" s="22"/>
      <c r="S1597" s="22"/>
      <c r="T1597" s="331"/>
      <c r="U1597" s="22"/>
      <c r="V1597" s="22"/>
      <c r="W1597" s="22"/>
      <c r="X1597" s="22"/>
      <c r="Y1597" s="22"/>
      <c r="Z1597" s="22"/>
      <c r="AA1597" s="22"/>
      <c r="AB1597" s="22"/>
      <c r="AC1597" s="41"/>
      <c r="AD1597" s="22"/>
    </row>
    <row r="1598" spans="18:30" x14ac:dyDescent="0.25">
      <c r="R1598" s="22"/>
      <c r="S1598" s="22"/>
      <c r="T1598" s="331"/>
      <c r="U1598" s="22"/>
      <c r="V1598" s="22"/>
      <c r="W1598" s="22"/>
      <c r="X1598" s="22"/>
      <c r="Y1598" s="22"/>
      <c r="Z1598" s="22"/>
      <c r="AA1598" s="22"/>
      <c r="AB1598" s="22"/>
      <c r="AC1598" s="41"/>
      <c r="AD1598" s="22"/>
    </row>
  </sheetData>
  <mergeCells count="36">
    <mergeCell ref="A4:D4"/>
    <mergeCell ref="E4:AY4"/>
    <mergeCell ref="A1:D3"/>
    <mergeCell ref="E1:AY1"/>
    <mergeCell ref="E2:AY2"/>
    <mergeCell ref="E3:AD3"/>
    <mergeCell ref="AE3:AY3"/>
    <mergeCell ref="A5:D5"/>
    <mergeCell ref="E5:AY5"/>
    <mergeCell ref="A6:D6"/>
    <mergeCell ref="E6:AY6"/>
    <mergeCell ref="A7:AY7"/>
    <mergeCell ref="A10:A15"/>
    <mergeCell ref="B10:B15"/>
    <mergeCell ref="C10:C15"/>
    <mergeCell ref="A16:A21"/>
    <mergeCell ref="B16:B21"/>
    <mergeCell ref="C16:C21"/>
    <mergeCell ref="AF28:AY30"/>
    <mergeCell ref="B34:D34"/>
    <mergeCell ref="E34:R34"/>
    <mergeCell ref="AN8:AX8"/>
    <mergeCell ref="AY8:AY9"/>
    <mergeCell ref="A8:F8"/>
    <mergeCell ref="G8:S8"/>
    <mergeCell ref="T8:AF8"/>
    <mergeCell ref="AG8:AK8"/>
    <mergeCell ref="AL8:AM8"/>
    <mergeCell ref="B35:D35"/>
    <mergeCell ref="E35:R35"/>
    <mergeCell ref="B36:D36"/>
    <mergeCell ref="E36:R36"/>
    <mergeCell ref="A22:A27"/>
    <mergeCell ref="B22:B27"/>
    <mergeCell ref="C22:C27"/>
    <mergeCell ref="A28:C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422"/>
  <sheetViews>
    <sheetView showGridLines="0" zoomScale="62" zoomScaleNormal="62" workbookViewId="0">
      <selection activeCell="M59" sqref="M59"/>
    </sheetView>
  </sheetViews>
  <sheetFormatPr baseColWidth="10" defaultColWidth="11.42578125" defaultRowHeight="15" x14ac:dyDescent="0.25"/>
  <cols>
    <col min="1" max="1" width="24.5703125" customWidth="1"/>
    <col min="2" max="2" width="52.28515625" customWidth="1"/>
    <col min="3" max="3" width="27" bestFit="1" customWidth="1"/>
    <col min="4" max="4" width="33.42578125" customWidth="1"/>
    <col min="5" max="5" width="24.85546875" customWidth="1"/>
    <col min="6" max="6" width="22" customWidth="1"/>
    <col min="7" max="7" width="33.140625" customWidth="1"/>
    <col min="8" max="8" width="29.42578125" customWidth="1"/>
    <col min="9" max="9" width="18.42578125" customWidth="1"/>
    <col min="10" max="10" width="23.85546875" customWidth="1"/>
    <col min="11" max="11" width="15.42578125" customWidth="1"/>
    <col min="12" max="12" width="14.42578125" customWidth="1"/>
    <col min="13" max="13" width="14.140625" customWidth="1"/>
    <col min="14" max="14" width="62" customWidth="1"/>
  </cols>
  <sheetData>
    <row r="1" spans="1:14" ht="29.25" customHeight="1" x14ac:dyDescent="0.25">
      <c r="A1" s="761"/>
      <c r="B1" s="763"/>
      <c r="C1" s="906" t="s">
        <v>38</v>
      </c>
      <c r="D1" s="907"/>
      <c r="E1" s="907"/>
      <c r="F1" s="907"/>
      <c r="G1" s="907"/>
      <c r="H1" s="907"/>
      <c r="I1" s="907"/>
      <c r="J1" s="907"/>
      <c r="K1" s="907"/>
      <c r="L1" s="907"/>
      <c r="M1" s="907"/>
      <c r="N1" s="908"/>
    </row>
    <row r="2" spans="1:14" ht="33.75" customHeight="1" thickBot="1" x14ac:dyDescent="0.3">
      <c r="A2" s="764"/>
      <c r="B2" s="766"/>
      <c r="C2" s="909" t="s">
        <v>504</v>
      </c>
      <c r="D2" s="910"/>
      <c r="E2" s="910"/>
      <c r="F2" s="910"/>
      <c r="G2" s="910"/>
      <c r="H2" s="911"/>
      <c r="I2" s="911"/>
      <c r="J2" s="911"/>
      <c r="K2" s="911"/>
      <c r="L2" s="911"/>
      <c r="M2" s="911"/>
      <c r="N2" s="912"/>
    </row>
    <row r="3" spans="1:14" ht="27" thickBot="1" x14ac:dyDescent="0.45">
      <c r="A3" s="767"/>
      <c r="B3" s="769"/>
      <c r="C3" s="913" t="s">
        <v>39</v>
      </c>
      <c r="D3" s="914"/>
      <c r="E3" s="914"/>
      <c r="F3" s="914"/>
      <c r="G3" s="914"/>
      <c r="H3" s="915" t="s">
        <v>332</v>
      </c>
      <c r="I3" s="916"/>
      <c r="J3" s="916"/>
      <c r="K3" s="916"/>
      <c r="L3" s="916"/>
      <c r="M3" s="916"/>
      <c r="N3" s="917"/>
    </row>
    <row r="4" spans="1:14" ht="26.25" customHeight="1" thickBot="1" x14ac:dyDescent="0.3">
      <c r="A4" s="918" t="s">
        <v>0</v>
      </c>
      <c r="B4" s="919"/>
      <c r="C4" s="920" t="s">
        <v>294</v>
      </c>
      <c r="D4" s="920"/>
      <c r="E4" s="920"/>
      <c r="F4" s="920"/>
      <c r="G4" s="920"/>
      <c r="H4" s="920"/>
      <c r="I4" s="920"/>
      <c r="J4" s="920"/>
      <c r="K4" s="920"/>
      <c r="L4" s="920"/>
      <c r="M4" s="920"/>
      <c r="N4" s="921"/>
    </row>
    <row r="5" spans="1:14" ht="29.25" customHeight="1" thickBot="1" x14ac:dyDescent="0.3">
      <c r="A5" s="922" t="s">
        <v>2</v>
      </c>
      <c r="B5" s="923"/>
      <c r="C5" s="924" t="s">
        <v>331</v>
      </c>
      <c r="D5" s="924"/>
      <c r="E5" s="924"/>
      <c r="F5" s="924"/>
      <c r="G5" s="924"/>
      <c r="H5" s="924"/>
      <c r="I5" s="924"/>
      <c r="J5" s="924"/>
      <c r="K5" s="924"/>
      <c r="L5" s="924"/>
      <c r="M5" s="924"/>
      <c r="N5" s="925"/>
    </row>
    <row r="6" spans="1:14" ht="18.600000000000001" customHeight="1" thickBot="1" x14ac:dyDescent="0.3"/>
    <row r="7" spans="1:14" ht="18.600000000000001" customHeight="1" x14ac:dyDescent="0.25">
      <c r="A7" s="891" t="s">
        <v>339</v>
      </c>
      <c r="B7" s="892"/>
      <c r="C7" s="892"/>
      <c r="D7" s="892"/>
      <c r="E7" s="892"/>
      <c r="F7" s="892"/>
      <c r="G7" s="892"/>
      <c r="H7" s="893"/>
    </row>
    <row r="8" spans="1:14" ht="18.600000000000001" customHeight="1" x14ac:dyDescent="0.25">
      <c r="A8" s="26" t="s">
        <v>48</v>
      </c>
      <c r="B8" s="27" t="s">
        <v>117</v>
      </c>
      <c r="C8" s="27" t="s">
        <v>118</v>
      </c>
      <c r="D8" s="27" t="s">
        <v>119</v>
      </c>
      <c r="E8" s="27" t="s">
        <v>120</v>
      </c>
      <c r="F8" s="27" t="s">
        <v>121</v>
      </c>
      <c r="G8" s="27" t="s">
        <v>122</v>
      </c>
      <c r="H8" s="28" t="s">
        <v>123</v>
      </c>
    </row>
    <row r="9" spans="1:14" ht="18.600000000000001" customHeight="1" x14ac:dyDescent="0.25">
      <c r="A9" s="37" t="s">
        <v>124</v>
      </c>
      <c r="B9" s="11" t="s">
        <v>452</v>
      </c>
      <c r="C9" s="83">
        <v>1709895000</v>
      </c>
      <c r="D9" s="83">
        <v>1709895000</v>
      </c>
      <c r="E9" s="83">
        <v>0</v>
      </c>
      <c r="F9" s="152">
        <v>0</v>
      </c>
      <c r="G9" s="152">
        <v>0</v>
      </c>
      <c r="H9" s="153" t="e">
        <f t="shared" ref="H9:H14" si="0">G9/E9</f>
        <v>#DIV/0!</v>
      </c>
    </row>
    <row r="10" spans="1:14" ht="18.600000000000001" customHeight="1" x14ac:dyDescent="0.25">
      <c r="A10" s="37" t="s">
        <v>125</v>
      </c>
      <c r="B10" s="11" t="s">
        <v>452</v>
      </c>
      <c r="C10" s="154">
        <v>1709895000</v>
      </c>
      <c r="D10" s="154">
        <v>1709895000</v>
      </c>
      <c r="E10" s="83">
        <f>+[4]INVERSIÓN!L30</f>
        <v>641980000</v>
      </c>
      <c r="F10" s="152">
        <v>0</v>
      </c>
      <c r="G10" s="152">
        <v>0</v>
      </c>
      <c r="H10" s="124">
        <f t="shared" si="0"/>
        <v>0</v>
      </c>
    </row>
    <row r="11" spans="1:14" ht="18.600000000000001" customHeight="1" x14ac:dyDescent="0.25">
      <c r="A11" s="37" t="s">
        <v>126</v>
      </c>
      <c r="B11" s="11" t="s">
        <v>452</v>
      </c>
      <c r="C11" s="154">
        <v>1709895000</v>
      </c>
      <c r="D11" s="154">
        <v>1709895000</v>
      </c>
      <c r="E11" s="83">
        <f>+[4]INVERSIÓN!N30</f>
        <v>746119000</v>
      </c>
      <c r="F11" s="152">
        <v>35999398</v>
      </c>
      <c r="G11" s="152">
        <v>36069398</v>
      </c>
      <c r="H11" s="155">
        <f t="shared" si="0"/>
        <v>4.8342687962644029E-2</v>
      </c>
    </row>
    <row r="12" spans="1:14" ht="18.600000000000001" customHeight="1" x14ac:dyDescent="0.25">
      <c r="A12" s="135" t="s">
        <v>127</v>
      </c>
      <c r="B12" s="11" t="s">
        <v>452</v>
      </c>
      <c r="C12" s="83">
        <v>1709895000</v>
      </c>
      <c r="D12" s="83">
        <v>1709895000</v>
      </c>
      <c r="E12" s="83">
        <f>+E11</f>
        <v>746119000</v>
      </c>
      <c r="F12" s="152">
        <v>151838668</v>
      </c>
      <c r="G12" s="152">
        <v>151838668</v>
      </c>
      <c r="H12" s="155">
        <f t="shared" si="0"/>
        <v>0.20350462593768553</v>
      </c>
    </row>
    <row r="13" spans="1:14" ht="18.600000000000001" customHeight="1" x14ac:dyDescent="0.25">
      <c r="A13" s="135" t="s">
        <v>128</v>
      </c>
      <c r="B13" s="11" t="s">
        <v>452</v>
      </c>
      <c r="C13" s="154">
        <f>C12</f>
        <v>1709895000</v>
      </c>
      <c r="D13" s="154">
        <f>D12</f>
        <v>1709895000</v>
      </c>
      <c r="E13" s="83">
        <f>+E12</f>
        <v>746119000</v>
      </c>
      <c r="F13" s="152">
        <v>190986000</v>
      </c>
      <c r="G13" s="152">
        <v>190986000</v>
      </c>
      <c r="H13" s="155">
        <f t="shared" si="0"/>
        <v>0.25597257273973723</v>
      </c>
    </row>
    <row r="14" spans="1:14" ht="18.600000000000001" customHeight="1" thickBot="1" x14ac:dyDescent="0.3">
      <c r="A14" s="135" t="s">
        <v>129</v>
      </c>
      <c r="B14" s="11" t="s">
        <v>452</v>
      </c>
      <c r="C14" s="156">
        <f>C13</f>
        <v>1709895000</v>
      </c>
      <c r="D14" s="156">
        <f>D13</f>
        <v>1709895000</v>
      </c>
      <c r="E14" s="157">
        <f>[4]INVERSIÓN!U30</f>
        <v>1673792107</v>
      </c>
      <c r="F14" s="157">
        <v>128336000</v>
      </c>
      <c r="G14" s="157">
        <v>128336000</v>
      </c>
      <c r="H14" s="155">
        <f t="shared" si="0"/>
        <v>7.6673799250984276E-2</v>
      </c>
    </row>
    <row r="15" spans="1:14" ht="18.600000000000001" customHeight="1" thickBot="1" x14ac:dyDescent="0.3"/>
    <row r="16" spans="1:14" ht="18.600000000000001" customHeight="1" x14ac:dyDescent="0.25">
      <c r="A16" s="891" t="s">
        <v>338</v>
      </c>
      <c r="B16" s="892"/>
      <c r="C16" s="892"/>
      <c r="D16" s="892"/>
      <c r="E16" s="892"/>
      <c r="F16" s="892"/>
      <c r="G16" s="892"/>
      <c r="H16" s="893"/>
    </row>
    <row r="17" spans="1:8" ht="18.600000000000001" customHeight="1" x14ac:dyDescent="0.25">
      <c r="A17" s="26" t="s">
        <v>48</v>
      </c>
      <c r="B17" s="27" t="s">
        <v>117</v>
      </c>
      <c r="C17" s="27" t="s">
        <v>118</v>
      </c>
      <c r="D17" s="27" t="s">
        <v>119</v>
      </c>
      <c r="E17" s="27" t="s">
        <v>120</v>
      </c>
      <c r="F17" s="27" t="s">
        <v>121</v>
      </c>
      <c r="G17" s="27" t="s">
        <v>122</v>
      </c>
      <c r="H17" s="28" t="s">
        <v>123</v>
      </c>
    </row>
    <row r="18" spans="1:8" ht="18.600000000000001" customHeight="1" x14ac:dyDescent="0.25">
      <c r="A18" s="37" t="s">
        <v>130</v>
      </c>
      <c r="B18" s="11" t="s">
        <v>452</v>
      </c>
      <c r="C18" s="265">
        <v>2746164000</v>
      </c>
      <c r="D18" s="265">
        <v>2746164000</v>
      </c>
      <c r="E18" s="265">
        <v>0</v>
      </c>
      <c r="F18" s="265">
        <v>0</v>
      </c>
      <c r="G18" s="265">
        <v>0</v>
      </c>
      <c r="H18" s="266">
        <v>0</v>
      </c>
    </row>
    <row r="19" spans="1:8" ht="18.600000000000001" customHeight="1" x14ac:dyDescent="0.25">
      <c r="A19" s="37" t="s">
        <v>131</v>
      </c>
      <c r="B19" s="11" t="s">
        <v>452</v>
      </c>
      <c r="C19" s="265">
        <v>2746164000</v>
      </c>
      <c r="D19" s="265">
        <v>2746164000</v>
      </c>
      <c r="E19" s="265">
        <v>622617667</v>
      </c>
      <c r="F19" s="265">
        <v>0</v>
      </c>
      <c r="G19" s="265">
        <v>0</v>
      </c>
      <c r="H19" s="266">
        <v>0</v>
      </c>
    </row>
    <row r="20" spans="1:8" ht="18.600000000000001" customHeight="1" x14ac:dyDescent="0.25">
      <c r="A20" s="37" t="s">
        <v>132</v>
      </c>
      <c r="B20" s="11" t="s">
        <v>452</v>
      </c>
      <c r="C20" s="265">
        <v>2746164000</v>
      </c>
      <c r="D20" s="265">
        <v>2746164000</v>
      </c>
      <c r="E20" s="265">
        <v>1866746667</v>
      </c>
      <c r="F20" s="265">
        <v>31323733</v>
      </c>
      <c r="G20" s="265">
        <v>31323733</v>
      </c>
      <c r="H20" s="267">
        <v>1.6779852110484578E-2</v>
      </c>
    </row>
    <row r="21" spans="1:8" ht="18.600000000000001" customHeight="1" x14ac:dyDescent="0.25">
      <c r="A21" s="37" t="s">
        <v>133</v>
      </c>
      <c r="B21" s="11" t="s">
        <v>452</v>
      </c>
      <c r="C21" s="265">
        <v>2746164000</v>
      </c>
      <c r="D21" s="265">
        <v>2746164000</v>
      </c>
      <c r="E21" s="265">
        <v>2198642667</v>
      </c>
      <c r="F21" s="265">
        <v>123612133</v>
      </c>
      <c r="G21" s="265">
        <v>123612133</v>
      </c>
      <c r="H21" s="267">
        <v>5.6222020456223591E-2</v>
      </c>
    </row>
    <row r="22" spans="1:8" ht="18.600000000000001" customHeight="1" x14ac:dyDescent="0.25">
      <c r="A22" s="37" t="s">
        <v>134</v>
      </c>
      <c r="B22" s="11" t="s">
        <v>452</v>
      </c>
      <c r="C22" s="265">
        <v>2746164000</v>
      </c>
      <c r="D22" s="265">
        <v>2746164000</v>
      </c>
      <c r="E22" s="265">
        <v>2320945467</v>
      </c>
      <c r="F22" s="265">
        <v>331165399</v>
      </c>
      <c r="G22" s="265">
        <v>331165399</v>
      </c>
      <c r="H22" s="267">
        <v>0.14268555797997989</v>
      </c>
    </row>
    <row r="23" spans="1:8" ht="18.600000000000001" customHeight="1" x14ac:dyDescent="0.25">
      <c r="A23" s="37" t="s">
        <v>135</v>
      </c>
      <c r="B23" s="11" t="s">
        <v>452</v>
      </c>
      <c r="C23" s="265">
        <v>2746164000</v>
      </c>
      <c r="D23" s="265">
        <v>2746164000</v>
      </c>
      <c r="E23" s="265">
        <v>2738501155</v>
      </c>
      <c r="F23" s="265">
        <v>606822733</v>
      </c>
      <c r="G23" s="265">
        <v>606822733</v>
      </c>
      <c r="H23" s="267">
        <v>0.22158936536946613</v>
      </c>
    </row>
    <row r="24" spans="1:8" ht="18.600000000000001" customHeight="1" x14ac:dyDescent="0.25">
      <c r="A24" s="37" t="s">
        <v>124</v>
      </c>
      <c r="B24" s="11" t="s">
        <v>452</v>
      </c>
      <c r="C24" s="265">
        <v>2746164000</v>
      </c>
      <c r="D24" s="265">
        <v>2746164000</v>
      </c>
      <c r="E24" s="265">
        <v>2464468800</v>
      </c>
      <c r="F24" s="265">
        <v>885145332</v>
      </c>
      <c r="G24" s="265">
        <v>885145332</v>
      </c>
      <c r="H24" s="267">
        <v>0.35916272585800235</v>
      </c>
    </row>
    <row r="25" spans="1:8" ht="18.600000000000001" customHeight="1" x14ac:dyDescent="0.25">
      <c r="A25" s="37" t="s">
        <v>125</v>
      </c>
      <c r="B25" s="11" t="s">
        <v>452</v>
      </c>
      <c r="C25" s="265">
        <v>2746164000</v>
      </c>
      <c r="D25" s="265">
        <v>2746164000</v>
      </c>
      <c r="E25" s="265">
        <v>2473028800</v>
      </c>
      <c r="F25" s="265">
        <v>1162616786</v>
      </c>
      <c r="G25" s="265">
        <v>1162616786</v>
      </c>
      <c r="H25" s="267">
        <v>0.47011857929030182</v>
      </c>
    </row>
    <row r="26" spans="1:8" ht="18.600000000000001" customHeight="1" x14ac:dyDescent="0.25">
      <c r="A26" s="37" t="s">
        <v>126</v>
      </c>
      <c r="B26" s="11" t="s">
        <v>452</v>
      </c>
      <c r="C26" s="265">
        <v>2746164000</v>
      </c>
      <c r="D26" s="265">
        <v>2769664000</v>
      </c>
      <c r="E26" s="265">
        <v>2551264634</v>
      </c>
      <c r="F26" s="265">
        <v>1432696998</v>
      </c>
      <c r="G26" s="265">
        <v>1432696998</v>
      </c>
      <c r="H26" s="267">
        <v>0.56156346107998456</v>
      </c>
    </row>
    <row r="27" spans="1:8" ht="18.600000000000001" customHeight="1" x14ac:dyDescent="0.25">
      <c r="A27" s="135" t="s">
        <v>127</v>
      </c>
      <c r="B27" s="11" t="s">
        <v>452</v>
      </c>
      <c r="C27" s="265">
        <v>2746164000</v>
      </c>
      <c r="D27" s="265">
        <v>2769664000</v>
      </c>
      <c r="E27" s="265">
        <v>2609649967</v>
      </c>
      <c r="F27" s="265">
        <v>1719648980</v>
      </c>
      <c r="G27" s="265">
        <v>1719648980</v>
      </c>
      <c r="H27" s="267">
        <v>0.65895771530496605</v>
      </c>
    </row>
    <row r="28" spans="1:8" ht="18.600000000000001" customHeight="1" x14ac:dyDescent="0.25">
      <c r="A28" s="135" t="s">
        <v>128</v>
      </c>
      <c r="B28" s="11" t="s">
        <v>452</v>
      </c>
      <c r="C28" s="265">
        <v>2746164000</v>
      </c>
      <c r="D28" s="265">
        <v>2769664000</v>
      </c>
      <c r="E28" s="265">
        <v>2717824036</v>
      </c>
      <c r="F28" s="265">
        <v>2046639126</v>
      </c>
      <c r="G28" s="265">
        <v>2046639126</v>
      </c>
      <c r="H28" s="267">
        <v>0.75304327980415287</v>
      </c>
    </row>
    <row r="29" spans="1:8" ht="18.600000000000001" customHeight="1" x14ac:dyDescent="0.25">
      <c r="A29" s="135" t="s">
        <v>129</v>
      </c>
      <c r="B29" s="11" t="s">
        <v>452</v>
      </c>
      <c r="C29" s="265">
        <v>2746164000</v>
      </c>
      <c r="D29" s="265">
        <v>2769664000</v>
      </c>
      <c r="E29" s="265">
        <v>2738501155</v>
      </c>
      <c r="F29" s="265">
        <v>2471738214</v>
      </c>
      <c r="G29" s="265">
        <v>2471738214</v>
      </c>
      <c r="H29" s="267">
        <v>0.90258797572060911</v>
      </c>
    </row>
    <row r="30" spans="1:8" ht="18.600000000000001" customHeight="1" thickBot="1" x14ac:dyDescent="0.3"/>
    <row r="31" spans="1:8" ht="28.5" customHeight="1" x14ac:dyDescent="0.25">
      <c r="A31" s="891" t="s">
        <v>136</v>
      </c>
      <c r="B31" s="892"/>
      <c r="C31" s="892"/>
      <c r="D31" s="892"/>
      <c r="E31" s="892"/>
      <c r="F31" s="892"/>
      <c r="G31" s="892"/>
      <c r="H31" s="893"/>
    </row>
    <row r="32" spans="1:8" ht="33.75" customHeight="1" x14ac:dyDescent="0.25">
      <c r="A32" s="26" t="s">
        <v>61</v>
      </c>
      <c r="B32" s="27" t="s">
        <v>117</v>
      </c>
      <c r="C32" s="27" t="s">
        <v>118</v>
      </c>
      <c r="D32" s="27" t="s">
        <v>119</v>
      </c>
      <c r="E32" s="27" t="s">
        <v>120</v>
      </c>
      <c r="F32" s="27" t="s">
        <v>121</v>
      </c>
      <c r="G32" s="27" t="s">
        <v>122</v>
      </c>
      <c r="H32" s="28" t="s">
        <v>123</v>
      </c>
    </row>
    <row r="33" spans="1:10" ht="15" customHeight="1" x14ac:dyDescent="0.25">
      <c r="A33" s="37" t="s">
        <v>130</v>
      </c>
      <c r="B33" s="11" t="s">
        <v>452</v>
      </c>
      <c r="C33">
        <v>4405188000</v>
      </c>
      <c r="D33">
        <v>4405188000</v>
      </c>
      <c r="E33">
        <v>3733369000</v>
      </c>
      <c r="F33" s="77">
        <v>0</v>
      </c>
      <c r="G33" s="77">
        <v>0</v>
      </c>
      <c r="H33" s="167">
        <f>+G33/E33</f>
        <v>0</v>
      </c>
    </row>
    <row r="34" spans="1:10" ht="15" customHeight="1" x14ac:dyDescent="0.25">
      <c r="A34" s="37" t="s">
        <v>131</v>
      </c>
      <c r="B34" s="11" t="s">
        <v>452</v>
      </c>
      <c r="C34" s="265">
        <f>+[5]INVERSIÓN!BF31</f>
        <v>4405188000</v>
      </c>
      <c r="D34" s="265">
        <f>+[5]INVERSIÓN!CE31</f>
        <v>4405188000</v>
      </c>
      <c r="E34" s="265">
        <f>+[5]INVERSIÓN!CG31</f>
        <v>3733369000</v>
      </c>
      <c r="F34" s="265">
        <f>+[5]INVERSIÓN!CI12+[5]INVERSIÓN!CI19+[5]INVERSIÓN!CI26</f>
        <v>51439067</v>
      </c>
      <c r="G34" s="265">
        <f>+F34</f>
        <v>51439067</v>
      </c>
      <c r="H34" s="267">
        <f>+G34/E34</f>
        <v>1.3778189886935901E-2</v>
      </c>
    </row>
    <row r="35" spans="1:10" ht="15" customHeight="1" x14ac:dyDescent="0.25">
      <c r="A35" s="37" t="s">
        <v>132</v>
      </c>
      <c r="B35" s="11" t="s">
        <v>452</v>
      </c>
      <c r="C35" s="265">
        <f>+INVERSIÓN!BF31</f>
        <v>4405188000</v>
      </c>
      <c r="D35" s="265">
        <f>+INVERSIÓN!CE31</f>
        <v>4405188000</v>
      </c>
      <c r="E35" s="265">
        <f>+INVERSIÓN!CG31</f>
        <v>4401462834</v>
      </c>
      <c r="F35" s="265">
        <f>+[6]INVERSIÓN!CI12+[6]INVERSIÓN!CI19+[6]INVERSIÓN!CI26</f>
        <v>419560100</v>
      </c>
      <c r="G35" s="265">
        <f>+F35</f>
        <v>419560100</v>
      </c>
      <c r="H35" s="267">
        <f>+G35/E35</f>
        <v>9.5322876921513949E-2</v>
      </c>
    </row>
    <row r="36" spans="1:10" ht="15" customHeight="1" x14ac:dyDescent="0.25">
      <c r="A36" s="37" t="s">
        <v>133</v>
      </c>
      <c r="B36" s="11" t="s">
        <v>452</v>
      </c>
      <c r="C36" s="265">
        <v>4405188000</v>
      </c>
      <c r="D36" s="265">
        <v>4405188000</v>
      </c>
      <c r="E36" s="265">
        <v>3733369000</v>
      </c>
      <c r="F36" s="265">
        <v>792019300</v>
      </c>
      <c r="G36" s="265">
        <v>792019300</v>
      </c>
      <c r="H36" s="267">
        <v>0.21214600003374967</v>
      </c>
    </row>
    <row r="37" spans="1:10" ht="15" customHeight="1" x14ac:dyDescent="0.25">
      <c r="A37" s="37" t="s">
        <v>134</v>
      </c>
      <c r="B37" s="11" t="s">
        <v>452</v>
      </c>
      <c r="C37" s="265">
        <v>4405188000</v>
      </c>
      <c r="D37" s="265">
        <v>4405188000</v>
      </c>
      <c r="E37" s="265">
        <v>3733369000</v>
      </c>
      <c r="F37" s="265">
        <v>1164372200</v>
      </c>
      <c r="G37" s="265">
        <v>1164372200</v>
      </c>
      <c r="H37" s="267">
        <v>0.31188243112320269</v>
      </c>
    </row>
    <row r="38" spans="1:10" ht="15" customHeight="1" x14ac:dyDescent="0.25">
      <c r="A38" s="37" t="s">
        <v>135</v>
      </c>
      <c r="B38" s="11" t="s">
        <v>452</v>
      </c>
      <c r="C38" s="265">
        <f>+[7]INVERSIÓN!BF31</f>
        <v>4405188000</v>
      </c>
      <c r="D38" s="265">
        <f>+C38</f>
        <v>4405188000</v>
      </c>
      <c r="E38" s="265">
        <f>+[7]INVERSIÓN!CI31</f>
        <v>3733369000</v>
      </c>
      <c r="F38" s="265">
        <f>+[7]INVERSIÓN!CI12+[7]INVERSIÓN!CI19+[7]INVERSIÓN!CI26</f>
        <v>1511767200</v>
      </c>
      <c r="G38" s="265">
        <f>+F38</f>
        <v>1511767200</v>
      </c>
      <c r="H38" s="267">
        <f>+G38/E38</f>
        <v>0.40493377429340632</v>
      </c>
    </row>
    <row r="39" spans="1:10" ht="15" customHeight="1" x14ac:dyDescent="0.25">
      <c r="A39" s="37" t="s">
        <v>124</v>
      </c>
      <c r="B39" s="11" t="s">
        <v>452</v>
      </c>
      <c r="C39" s="265">
        <f>+[8]INVERSIÓN!BF31</f>
        <v>4405188000</v>
      </c>
      <c r="D39" s="265">
        <f>+C39</f>
        <v>4405188000</v>
      </c>
      <c r="E39" s="265">
        <f>+[8]INVERSIÓN!CI31</f>
        <v>3784149000</v>
      </c>
      <c r="F39" s="265">
        <f>+[8]INVERSIÓN!CI12+[8]INVERSIÓN!CI19+[8]INVERSIÓN!CI26</f>
        <v>1879931367</v>
      </c>
      <c r="G39" s="265">
        <f>+F39</f>
        <v>1879931367</v>
      </c>
      <c r="H39" s="267">
        <f>+G39/E39</f>
        <v>0.49679105315356242</v>
      </c>
    </row>
    <row r="40" spans="1:10" ht="15" customHeight="1" x14ac:dyDescent="0.25">
      <c r="A40" s="37" t="s">
        <v>125</v>
      </c>
      <c r="B40" s="11" t="s">
        <v>452</v>
      </c>
      <c r="C40" s="265">
        <v>4405188000</v>
      </c>
      <c r="D40" s="265">
        <v>4405188000</v>
      </c>
      <c r="E40" s="265">
        <v>3882457867</v>
      </c>
      <c r="F40" s="265">
        <v>2224469145</v>
      </c>
      <c r="G40" s="265">
        <v>2224469145</v>
      </c>
      <c r="H40" s="267">
        <v>0.57295384037711694</v>
      </c>
    </row>
    <row r="41" spans="1:10" ht="15" customHeight="1" x14ac:dyDescent="0.25">
      <c r="A41" s="37" t="s">
        <v>126</v>
      </c>
      <c r="B41" s="11" t="s">
        <v>452</v>
      </c>
      <c r="C41" s="265">
        <v>4405188000</v>
      </c>
      <c r="D41" s="265">
        <f>+C41</f>
        <v>4405188000</v>
      </c>
      <c r="E41" s="265">
        <v>3901164467</v>
      </c>
      <c r="F41" s="265">
        <v>2613670779</v>
      </c>
      <c r="G41" s="265">
        <f>+F41</f>
        <v>2613670779</v>
      </c>
      <c r="H41" s="267">
        <f>+G41/E41</f>
        <v>0.66997195353056105</v>
      </c>
      <c r="J41" s="178"/>
    </row>
    <row r="42" spans="1:10" ht="15" customHeight="1" x14ac:dyDescent="0.25">
      <c r="A42" s="37" t="s">
        <v>127</v>
      </c>
      <c r="B42" s="11" t="s">
        <v>452</v>
      </c>
      <c r="C42" s="265">
        <v>4405188000</v>
      </c>
      <c r="D42" s="265">
        <v>4405188000</v>
      </c>
      <c r="E42" s="265">
        <v>4209319534</v>
      </c>
      <c r="F42" s="265">
        <v>2973713204</v>
      </c>
      <c r="G42" s="265">
        <v>2973713204</v>
      </c>
      <c r="H42" s="267">
        <v>0.70645936474538973</v>
      </c>
    </row>
    <row r="43" spans="1:10" ht="15" customHeight="1" x14ac:dyDescent="0.25">
      <c r="A43" s="37" t="s">
        <v>311</v>
      </c>
      <c r="B43" s="11" t="s">
        <v>452</v>
      </c>
      <c r="C43" s="265">
        <f>+INVERSIÓN!BF31</f>
        <v>4405188000</v>
      </c>
      <c r="D43" s="265">
        <f>+C43</f>
        <v>4405188000</v>
      </c>
      <c r="E43" s="265">
        <f>+INVERSIÓN!CI31</f>
        <v>4401462834</v>
      </c>
      <c r="F43" s="265">
        <f>+INVERSIÓN!CI12+INVERSIÓN!CI19+INVERSIÓN!CI26</f>
        <v>4022122377</v>
      </c>
      <c r="G43" s="265">
        <f>+F43</f>
        <v>4022122377</v>
      </c>
      <c r="H43" s="267">
        <f>+G43/E43</f>
        <v>0.91381491306260565</v>
      </c>
    </row>
    <row r="44" spans="1:10" ht="15" customHeight="1" x14ac:dyDescent="0.25">
      <c r="A44" s="37" t="s">
        <v>129</v>
      </c>
      <c r="B44" s="11" t="s">
        <v>452</v>
      </c>
      <c r="C44" s="265">
        <v>4405188000</v>
      </c>
      <c r="D44" s="265">
        <v>4405188000</v>
      </c>
      <c r="E44" s="265">
        <v>4401462834</v>
      </c>
      <c r="F44" s="265">
        <v>4022122377</v>
      </c>
      <c r="G44" s="265">
        <v>4022122377</v>
      </c>
      <c r="H44" s="267">
        <v>0.91381491306260565</v>
      </c>
    </row>
    <row r="45" spans="1:10" ht="15" customHeight="1" thickBot="1" x14ac:dyDescent="0.3">
      <c r="A45" s="184"/>
      <c r="B45" s="166"/>
      <c r="C45" s="80"/>
      <c r="D45" s="80"/>
      <c r="E45" s="80"/>
      <c r="F45" s="80"/>
      <c r="G45" s="80"/>
      <c r="H45" s="185"/>
    </row>
    <row r="46" spans="1:10" ht="15" customHeight="1" x14ac:dyDescent="0.25">
      <c r="A46" s="891" t="s">
        <v>385</v>
      </c>
      <c r="B46" s="892"/>
      <c r="C46" s="892"/>
      <c r="D46" s="892"/>
      <c r="E46" s="892"/>
      <c r="F46" s="892"/>
      <c r="G46" s="892"/>
      <c r="H46" s="893"/>
    </row>
    <row r="47" spans="1:10" ht="15" customHeight="1" x14ac:dyDescent="0.25">
      <c r="A47" s="26" t="s">
        <v>61</v>
      </c>
      <c r="B47" s="27" t="s">
        <v>117</v>
      </c>
      <c r="C47" s="27" t="s">
        <v>118</v>
      </c>
      <c r="D47" s="27" t="s">
        <v>119</v>
      </c>
      <c r="E47" s="27" t="s">
        <v>120</v>
      </c>
      <c r="F47" s="27" t="s">
        <v>121</v>
      </c>
      <c r="G47" s="27" t="s">
        <v>122</v>
      </c>
      <c r="H47" s="28" t="s">
        <v>123</v>
      </c>
    </row>
    <row r="48" spans="1:10" ht="15" customHeight="1" x14ac:dyDescent="0.25">
      <c r="A48" s="37" t="str">
        <f t="shared" ref="A48:A59" si="1">+A33</f>
        <v>ENERO</v>
      </c>
      <c r="B48" s="11" t="s">
        <v>452</v>
      </c>
      <c r="C48" s="265">
        <v>4262096000</v>
      </c>
      <c r="D48" s="265">
        <v>4262096000</v>
      </c>
      <c r="E48" s="265">
        <v>4406096000</v>
      </c>
      <c r="F48" s="265">
        <v>3490445000</v>
      </c>
      <c r="G48" s="265">
        <v>1163116000</v>
      </c>
      <c r="H48" s="267">
        <v>0.32063100758585378</v>
      </c>
    </row>
    <row r="49" spans="1:14" ht="15" customHeight="1" x14ac:dyDescent="0.25">
      <c r="A49" s="37" t="str">
        <f t="shared" si="1"/>
        <v>FEBRERO</v>
      </c>
      <c r="B49" s="11" t="s">
        <v>452</v>
      </c>
      <c r="C49" s="265">
        <v>4262096000</v>
      </c>
      <c r="D49" s="265">
        <v>4262096000</v>
      </c>
      <c r="E49" s="265">
        <v>4406096000</v>
      </c>
      <c r="F49" s="265">
        <v>3490445000</v>
      </c>
      <c r="G49" s="265">
        <v>3490445000</v>
      </c>
      <c r="H49" s="267">
        <v>0.79218541765771788</v>
      </c>
    </row>
    <row r="50" spans="1:14" ht="15" customHeight="1" x14ac:dyDescent="0.25">
      <c r="A50" s="37" t="str">
        <f t="shared" si="1"/>
        <v>MARZO</v>
      </c>
      <c r="B50" s="11" t="s">
        <v>452</v>
      </c>
      <c r="C50" s="265">
        <v>4257905000</v>
      </c>
      <c r="D50" s="265">
        <v>4257905000</v>
      </c>
      <c r="E50" s="265">
        <v>4406096000</v>
      </c>
      <c r="F50" s="265">
        <v>4257905000</v>
      </c>
      <c r="G50" s="265">
        <v>4257905000</v>
      </c>
      <c r="H50" s="267">
        <v>0.96636682450858991</v>
      </c>
    </row>
    <row r="51" spans="1:14" ht="15" customHeight="1" x14ac:dyDescent="0.25">
      <c r="A51" s="37" t="str">
        <f t="shared" si="1"/>
        <v>ABRIL</v>
      </c>
      <c r="B51" s="11" t="s">
        <v>452</v>
      </c>
      <c r="C51" s="265">
        <v>4335965000</v>
      </c>
      <c r="D51" s="265">
        <v>4335965000</v>
      </c>
      <c r="E51" s="265">
        <v>4406096000</v>
      </c>
      <c r="F51" s="265">
        <v>4257905000</v>
      </c>
      <c r="G51" s="265">
        <v>4257905000</v>
      </c>
      <c r="H51" s="267">
        <v>0.96636682450858991</v>
      </c>
    </row>
    <row r="52" spans="1:14" ht="15" customHeight="1" x14ac:dyDescent="0.25">
      <c r="A52" s="37" t="str">
        <f t="shared" si="1"/>
        <v>MAYO</v>
      </c>
      <c r="B52" s="11" t="s">
        <v>452</v>
      </c>
      <c r="C52" s="265">
        <v>4335965000</v>
      </c>
      <c r="D52" s="265">
        <v>4335965000</v>
      </c>
      <c r="E52" s="265">
        <v>4406096000</v>
      </c>
      <c r="F52" s="265">
        <v>4257905000</v>
      </c>
      <c r="G52" s="265">
        <v>4257905000</v>
      </c>
      <c r="H52" s="446">
        <v>0.96636682450858991</v>
      </c>
    </row>
    <row r="53" spans="1:14" ht="15" customHeight="1" x14ac:dyDescent="0.25">
      <c r="A53" s="37" t="str">
        <f t="shared" si="1"/>
        <v>JUNIO</v>
      </c>
      <c r="B53" s="11" t="s">
        <v>452</v>
      </c>
      <c r="C53" s="265">
        <v>4335965000</v>
      </c>
      <c r="D53" s="265">
        <v>4335965000</v>
      </c>
      <c r="E53" s="265">
        <v>4406096000</v>
      </c>
      <c r="F53" s="265">
        <v>4257905000</v>
      </c>
      <c r="G53" s="265">
        <v>4257905000</v>
      </c>
      <c r="H53" s="446">
        <v>0.96636682450858991</v>
      </c>
    </row>
    <row r="54" spans="1:14" ht="15" customHeight="1" x14ac:dyDescent="0.25">
      <c r="A54" s="37" t="str">
        <f t="shared" si="1"/>
        <v>JULIO</v>
      </c>
      <c r="B54" s="11" t="s">
        <v>452</v>
      </c>
      <c r="C54" s="265">
        <v>4335965000</v>
      </c>
      <c r="D54" s="265">
        <v>4335965000</v>
      </c>
      <c r="E54" s="265">
        <v>4406096000</v>
      </c>
      <c r="F54" s="265">
        <v>4293165500</v>
      </c>
      <c r="G54" s="265">
        <v>4293165500</v>
      </c>
      <c r="H54" s="446">
        <v>0.97436948718321159</v>
      </c>
    </row>
    <row r="55" spans="1:14" ht="15" customHeight="1" x14ac:dyDescent="0.25">
      <c r="A55" s="37" t="str">
        <f t="shared" si="1"/>
        <v>AGOSTO</v>
      </c>
      <c r="B55" s="258" t="s">
        <v>452</v>
      </c>
      <c r="C55" s="457">
        <v>4335965000</v>
      </c>
      <c r="D55" s="457">
        <v>4335965000</v>
      </c>
      <c r="E55" s="457">
        <v>4406096000</v>
      </c>
      <c r="F55" s="457">
        <v>4353165500</v>
      </c>
      <c r="G55" s="457">
        <v>4353165500</v>
      </c>
      <c r="H55" s="268">
        <v>0.98798698439616384</v>
      </c>
    </row>
    <row r="56" spans="1:14" ht="15" customHeight="1" x14ac:dyDescent="0.25">
      <c r="A56" s="37" t="str">
        <f t="shared" si="1"/>
        <v>SEPTIEMBRE</v>
      </c>
      <c r="B56" s="258" t="s">
        <v>452</v>
      </c>
      <c r="C56" s="457">
        <v>4335965000</v>
      </c>
      <c r="D56" s="457">
        <v>4335965000</v>
      </c>
      <c r="E56" s="457">
        <v>4406096000</v>
      </c>
      <c r="F56" s="457">
        <v>4353165500</v>
      </c>
      <c r="G56" s="457">
        <v>4353165500</v>
      </c>
      <c r="H56" s="268">
        <v>0.98798698439616384</v>
      </c>
    </row>
    <row r="57" spans="1:14" ht="15" customHeight="1" x14ac:dyDescent="0.25">
      <c r="A57" s="37" t="str">
        <f t="shared" si="1"/>
        <v>OCTUBRE</v>
      </c>
      <c r="B57" s="258" t="s">
        <v>452</v>
      </c>
      <c r="C57" s="457">
        <v>4335965000</v>
      </c>
      <c r="D57" s="457">
        <v>4335965000</v>
      </c>
      <c r="E57" s="457">
        <v>4406096000</v>
      </c>
      <c r="F57" s="457">
        <v>4353165500</v>
      </c>
      <c r="G57" s="457">
        <v>4353165500</v>
      </c>
      <c r="H57" s="268">
        <v>0.98798698439616384</v>
      </c>
    </row>
    <row r="58" spans="1:14" ht="15" customHeight="1" x14ac:dyDescent="0.25">
      <c r="A58" s="584" t="str">
        <f t="shared" si="1"/>
        <v>NOVEMBRE</v>
      </c>
      <c r="B58" s="571" t="s">
        <v>452</v>
      </c>
      <c r="C58" s="585">
        <v>4576738720</v>
      </c>
      <c r="D58" s="585">
        <v>4576738720</v>
      </c>
      <c r="E58" s="585">
        <v>4576738720</v>
      </c>
      <c r="F58" s="585">
        <v>4413096198</v>
      </c>
      <c r="G58" s="585">
        <v>4413096198</v>
      </c>
      <c r="H58" s="268">
        <v>0.96424473145366707</v>
      </c>
    </row>
    <row r="59" spans="1:14" ht="15" customHeight="1" x14ac:dyDescent="0.25">
      <c r="A59" s="584" t="str">
        <f t="shared" si="1"/>
        <v>DICIEMBRE</v>
      </c>
      <c r="B59" s="571" t="s">
        <v>452</v>
      </c>
      <c r="C59" s="585">
        <f>+INVERSIÓN!DJ31</f>
        <v>4576738720</v>
      </c>
      <c r="D59" s="585">
        <f>+C59</f>
        <v>4576738720</v>
      </c>
      <c r="E59" s="585">
        <f>+INVERSIÓN!DL31</f>
        <v>4576738720</v>
      </c>
      <c r="F59" s="585">
        <f>+INVERSIÓN!DM31</f>
        <v>4576569365</v>
      </c>
      <c r="G59" s="585">
        <f>+F59</f>
        <v>4576569365</v>
      </c>
      <c r="H59" s="268">
        <f>+G59/E59</f>
        <v>0.99996299657674148</v>
      </c>
    </row>
    <row r="60" spans="1:14" ht="15" customHeight="1" x14ac:dyDescent="0.25">
      <c r="A60" s="184"/>
      <c r="B60" s="166"/>
      <c r="C60" s="80"/>
      <c r="D60" s="80"/>
      <c r="E60" s="80"/>
      <c r="F60" s="80"/>
      <c r="G60" s="80"/>
      <c r="H60" s="185"/>
    </row>
    <row r="61" spans="1:14" ht="16.5" customHeight="1" x14ac:dyDescent="0.25"/>
    <row r="62" spans="1:14" ht="16.5" customHeight="1" thickBot="1" x14ac:dyDescent="0.3"/>
    <row r="63" spans="1:14" ht="16.5" customHeight="1" x14ac:dyDescent="0.25">
      <c r="A63" s="883" t="s">
        <v>365</v>
      </c>
      <c r="B63" s="884"/>
      <c r="C63" s="884"/>
      <c r="D63" s="884"/>
      <c r="E63" s="884"/>
      <c r="F63" s="884"/>
      <c r="G63" s="884"/>
      <c r="H63" s="884"/>
      <c r="I63" s="884"/>
      <c r="J63" s="884"/>
      <c r="K63" s="884"/>
      <c r="L63" s="884"/>
      <c r="M63" s="884"/>
      <c r="N63" s="885"/>
    </row>
    <row r="64" spans="1:14" ht="16.5" customHeight="1" x14ac:dyDescent="0.25">
      <c r="A64" s="26" t="s">
        <v>48</v>
      </c>
      <c r="B64" s="27" t="s">
        <v>137</v>
      </c>
      <c r="C64" s="27" t="s">
        <v>138</v>
      </c>
      <c r="D64" s="27" t="s">
        <v>139</v>
      </c>
      <c r="E64" s="27" t="s">
        <v>140</v>
      </c>
      <c r="F64" s="27" t="s">
        <v>141</v>
      </c>
      <c r="G64" s="27" t="s">
        <v>142</v>
      </c>
      <c r="H64" s="27" t="s">
        <v>143</v>
      </c>
      <c r="I64" s="27" t="s">
        <v>144</v>
      </c>
      <c r="J64" s="27" t="s">
        <v>145</v>
      </c>
      <c r="K64" s="27" t="s">
        <v>146</v>
      </c>
      <c r="L64" s="27" t="s">
        <v>147</v>
      </c>
      <c r="M64" s="27" t="s">
        <v>148</v>
      </c>
      <c r="N64" s="28" t="s">
        <v>149</v>
      </c>
    </row>
    <row r="65" spans="1:14" ht="30" customHeight="1" x14ac:dyDescent="0.25">
      <c r="A65" s="125" t="s">
        <v>124</v>
      </c>
      <c r="B65" s="85" t="s">
        <v>312</v>
      </c>
      <c r="C65" s="98" t="s">
        <v>313</v>
      </c>
      <c r="D65" s="98" t="s">
        <v>314</v>
      </c>
      <c r="E65" s="11" t="s">
        <v>315</v>
      </c>
      <c r="F65" s="76">
        <v>0.66400000000000003</v>
      </c>
      <c r="G65" s="130" t="s">
        <v>259</v>
      </c>
      <c r="H65" s="11">
        <v>0</v>
      </c>
      <c r="I65" s="11">
        <v>0</v>
      </c>
      <c r="J65" s="11">
        <v>0</v>
      </c>
      <c r="K65" s="11">
        <v>0</v>
      </c>
      <c r="L65" s="11">
        <v>0</v>
      </c>
      <c r="M65" s="11" t="e">
        <f>L65/K65</f>
        <v>#DIV/0!</v>
      </c>
      <c r="N65" s="124" t="s">
        <v>368</v>
      </c>
    </row>
    <row r="66" spans="1:14" ht="30" customHeight="1" x14ac:dyDescent="0.25">
      <c r="A66" s="126"/>
      <c r="B66" s="85" t="s">
        <v>316</v>
      </c>
      <c r="C66" s="98" t="s">
        <v>317</v>
      </c>
      <c r="D66" s="98" t="s">
        <v>318</v>
      </c>
      <c r="E66" s="11" t="s">
        <v>319</v>
      </c>
      <c r="F66" s="76">
        <v>0.13700000000000001</v>
      </c>
      <c r="G66" s="128"/>
      <c r="H66" s="11">
        <v>0</v>
      </c>
      <c r="I66" s="11">
        <v>0</v>
      </c>
      <c r="J66" s="11">
        <v>0</v>
      </c>
      <c r="K66" s="11">
        <v>0</v>
      </c>
      <c r="L66" s="11">
        <v>0</v>
      </c>
      <c r="M66" s="11" t="e">
        <f t="shared" ref="M66:M82" si="2">L66/K66</f>
        <v>#DIV/0!</v>
      </c>
      <c r="N66" s="124" t="s">
        <v>368</v>
      </c>
    </row>
    <row r="67" spans="1:14" ht="30" customHeight="1" thickBot="1" x14ac:dyDescent="0.3">
      <c r="A67" s="127"/>
      <c r="B67" s="85" t="s">
        <v>320</v>
      </c>
      <c r="C67" s="98" t="s">
        <v>321</v>
      </c>
      <c r="D67" s="98" t="s">
        <v>322</v>
      </c>
      <c r="E67" s="11" t="s">
        <v>315</v>
      </c>
      <c r="F67" s="76">
        <v>0.19800000000000001</v>
      </c>
      <c r="G67" s="129"/>
      <c r="H67" s="11">
        <v>0</v>
      </c>
      <c r="I67" s="11">
        <v>0</v>
      </c>
      <c r="J67" s="11">
        <v>0</v>
      </c>
      <c r="K67" s="11">
        <v>0</v>
      </c>
      <c r="L67" s="11">
        <v>0</v>
      </c>
      <c r="M67" s="11" t="e">
        <f t="shared" si="2"/>
        <v>#DIV/0!</v>
      </c>
      <c r="N67" s="124" t="s">
        <v>368</v>
      </c>
    </row>
    <row r="68" spans="1:14" ht="30" customHeight="1" x14ac:dyDescent="0.25">
      <c r="A68" s="131" t="s">
        <v>125</v>
      </c>
      <c r="B68" s="85" t="s">
        <v>312</v>
      </c>
      <c r="C68" s="98" t="s">
        <v>313</v>
      </c>
      <c r="D68" s="98" t="s">
        <v>314</v>
      </c>
      <c r="E68" s="11" t="s">
        <v>315</v>
      </c>
      <c r="F68" s="76">
        <v>0.66400000000000003</v>
      </c>
      <c r="G68" s="133" t="s">
        <v>259</v>
      </c>
      <c r="H68" s="11">
        <v>500</v>
      </c>
      <c r="I68" s="11">
        <v>144</v>
      </c>
      <c r="J68" s="84">
        <f t="shared" ref="J68:J82" si="3">I68/H68</f>
        <v>0.28799999999999998</v>
      </c>
      <c r="K68" s="11">
        <v>0</v>
      </c>
      <c r="L68" s="84">
        <v>0</v>
      </c>
      <c r="M68" s="11" t="e">
        <f t="shared" si="2"/>
        <v>#DIV/0!</v>
      </c>
      <c r="N68" s="122" t="s">
        <v>369</v>
      </c>
    </row>
    <row r="69" spans="1:14" ht="30" customHeight="1" x14ac:dyDescent="0.25">
      <c r="A69" s="126"/>
      <c r="B69" s="85" t="s">
        <v>316</v>
      </c>
      <c r="C69" s="98" t="s">
        <v>317</v>
      </c>
      <c r="D69" s="98" t="s">
        <v>318</v>
      </c>
      <c r="E69" s="11" t="s">
        <v>319</v>
      </c>
      <c r="F69" s="76">
        <v>0.13700000000000001</v>
      </c>
      <c r="G69" s="128"/>
      <c r="H69" s="11">
        <v>10</v>
      </c>
      <c r="I69" s="11">
        <v>0.65</v>
      </c>
      <c r="J69" s="84">
        <f t="shared" si="3"/>
        <v>6.5000000000000002E-2</v>
      </c>
      <c r="K69" s="11">
        <v>0</v>
      </c>
      <c r="L69" s="84">
        <v>0</v>
      </c>
      <c r="M69" s="11" t="e">
        <f t="shared" si="2"/>
        <v>#DIV/0!</v>
      </c>
      <c r="N69" s="122" t="s">
        <v>490</v>
      </c>
    </row>
    <row r="70" spans="1:14" ht="30" customHeight="1" thickBot="1" x14ac:dyDescent="0.3">
      <c r="A70" s="127"/>
      <c r="B70" s="85" t="s">
        <v>320</v>
      </c>
      <c r="C70" s="98" t="s">
        <v>321</v>
      </c>
      <c r="D70" s="98" t="s">
        <v>322</v>
      </c>
      <c r="E70" s="11" t="s">
        <v>315</v>
      </c>
      <c r="F70" s="76">
        <v>0.19800000000000001</v>
      </c>
      <c r="G70" s="129"/>
      <c r="H70" s="11">
        <v>10</v>
      </c>
      <c r="I70" s="11">
        <v>0.67</v>
      </c>
      <c r="J70" s="84">
        <f t="shared" si="3"/>
        <v>6.7000000000000004E-2</v>
      </c>
      <c r="K70" s="11">
        <v>0</v>
      </c>
      <c r="L70" s="84">
        <v>0</v>
      </c>
      <c r="M70" s="11" t="e">
        <f t="shared" si="2"/>
        <v>#DIV/0!</v>
      </c>
      <c r="N70" s="122" t="s">
        <v>370</v>
      </c>
    </row>
    <row r="71" spans="1:14" ht="30" customHeight="1" x14ac:dyDescent="0.25">
      <c r="A71" s="131" t="s">
        <v>126</v>
      </c>
      <c r="B71" s="85" t="s">
        <v>312</v>
      </c>
      <c r="C71" s="98" t="s">
        <v>313</v>
      </c>
      <c r="D71" s="98" t="s">
        <v>314</v>
      </c>
      <c r="E71" s="11" t="s">
        <v>315</v>
      </c>
      <c r="F71" s="76">
        <v>0.66400000000000003</v>
      </c>
      <c r="G71" s="133" t="s">
        <v>259</v>
      </c>
      <c r="H71" s="11">
        <v>500</v>
      </c>
      <c r="I71" s="11">
        <v>299</v>
      </c>
      <c r="J71" s="84">
        <f t="shared" si="3"/>
        <v>0.59799999999999998</v>
      </c>
      <c r="K71" s="11">
        <v>0</v>
      </c>
      <c r="L71" s="84">
        <v>0</v>
      </c>
      <c r="M71" s="11" t="e">
        <f t="shared" si="2"/>
        <v>#DIV/0!</v>
      </c>
      <c r="N71" s="122" t="s">
        <v>371</v>
      </c>
    </row>
    <row r="72" spans="1:14" ht="30" customHeight="1" x14ac:dyDescent="0.25">
      <c r="A72" s="126"/>
      <c r="B72" s="85" t="s">
        <v>316</v>
      </c>
      <c r="C72" s="98" t="s">
        <v>317</v>
      </c>
      <c r="D72" s="98" t="s">
        <v>318</v>
      </c>
      <c r="E72" s="11" t="s">
        <v>319</v>
      </c>
      <c r="F72" s="76">
        <v>0.13700000000000001</v>
      </c>
      <c r="G72" s="128"/>
      <c r="H72" s="11">
        <v>10</v>
      </c>
      <c r="I72" s="11">
        <v>2.35</v>
      </c>
      <c r="J72" s="84">
        <f t="shared" si="3"/>
        <v>0.23500000000000001</v>
      </c>
      <c r="K72" s="11">
        <v>0</v>
      </c>
      <c r="L72" s="84">
        <v>0</v>
      </c>
      <c r="M72" s="11" t="e">
        <f t="shared" si="2"/>
        <v>#DIV/0!</v>
      </c>
      <c r="N72" s="122" t="s">
        <v>372</v>
      </c>
    </row>
    <row r="73" spans="1:14" ht="30" customHeight="1" thickBot="1" x14ac:dyDescent="0.3">
      <c r="A73" s="127"/>
      <c r="B73" s="85" t="s">
        <v>320</v>
      </c>
      <c r="C73" s="98" t="s">
        <v>321</v>
      </c>
      <c r="D73" s="98" t="s">
        <v>322</v>
      </c>
      <c r="E73" s="11" t="s">
        <v>315</v>
      </c>
      <c r="F73" s="76">
        <v>0.19800000000000001</v>
      </c>
      <c r="G73" s="129"/>
      <c r="H73" s="11">
        <v>10</v>
      </c>
      <c r="I73" s="11">
        <v>2.37</v>
      </c>
      <c r="J73" s="84">
        <f t="shared" si="3"/>
        <v>0.23700000000000002</v>
      </c>
      <c r="K73" s="11">
        <v>0</v>
      </c>
      <c r="L73" s="84">
        <v>0</v>
      </c>
      <c r="M73" s="11" t="e">
        <f t="shared" si="2"/>
        <v>#DIV/0!</v>
      </c>
      <c r="N73" s="122" t="s">
        <v>491</v>
      </c>
    </row>
    <row r="74" spans="1:14" ht="30" customHeight="1" x14ac:dyDescent="0.25">
      <c r="A74" s="131" t="s">
        <v>127</v>
      </c>
      <c r="B74" s="85" t="s">
        <v>312</v>
      </c>
      <c r="C74" s="98" t="s">
        <v>313</v>
      </c>
      <c r="D74" s="98" t="s">
        <v>314</v>
      </c>
      <c r="E74" s="11" t="s">
        <v>315</v>
      </c>
      <c r="F74" s="76">
        <v>0.66400000000000003</v>
      </c>
      <c r="G74" s="133" t="s">
        <v>259</v>
      </c>
      <c r="H74" s="11">
        <v>500</v>
      </c>
      <c r="I74" s="11">
        <v>411</v>
      </c>
      <c r="J74" s="84">
        <f t="shared" si="3"/>
        <v>0.82199999999999995</v>
      </c>
      <c r="K74" s="11">
        <v>0</v>
      </c>
      <c r="L74" s="84">
        <v>0</v>
      </c>
      <c r="M74" s="11" t="e">
        <f t="shared" si="2"/>
        <v>#DIV/0!</v>
      </c>
      <c r="N74" s="122" t="s">
        <v>373</v>
      </c>
    </row>
    <row r="75" spans="1:14" ht="30" customHeight="1" x14ac:dyDescent="0.25">
      <c r="A75" s="126"/>
      <c r="B75" s="85" t="s">
        <v>316</v>
      </c>
      <c r="C75" s="98" t="s">
        <v>317</v>
      </c>
      <c r="D75" s="98" t="s">
        <v>318</v>
      </c>
      <c r="E75" s="11" t="s">
        <v>319</v>
      </c>
      <c r="F75" s="76">
        <v>0.13700000000000001</v>
      </c>
      <c r="G75" s="128"/>
      <c r="H75" s="11">
        <v>10</v>
      </c>
      <c r="I75" s="105">
        <v>4.9000000000000004</v>
      </c>
      <c r="J75" s="84">
        <f t="shared" si="3"/>
        <v>0.49000000000000005</v>
      </c>
      <c r="K75" s="11">
        <v>0</v>
      </c>
      <c r="L75" s="84">
        <v>0</v>
      </c>
      <c r="M75" s="11" t="e">
        <f t="shared" si="2"/>
        <v>#DIV/0!</v>
      </c>
      <c r="N75" s="122" t="s">
        <v>374</v>
      </c>
    </row>
    <row r="76" spans="1:14" ht="30" customHeight="1" thickBot="1" x14ac:dyDescent="0.3">
      <c r="A76" s="127"/>
      <c r="B76" s="85" t="s">
        <v>320</v>
      </c>
      <c r="C76" s="98" t="s">
        <v>321</v>
      </c>
      <c r="D76" s="98" t="s">
        <v>322</v>
      </c>
      <c r="E76" s="11" t="s">
        <v>315</v>
      </c>
      <c r="F76" s="76">
        <v>0.19800000000000001</v>
      </c>
      <c r="G76" s="129"/>
      <c r="H76" s="11">
        <v>10</v>
      </c>
      <c r="I76" s="11">
        <v>4.33</v>
      </c>
      <c r="J76" s="84">
        <f t="shared" si="3"/>
        <v>0.433</v>
      </c>
      <c r="K76" s="11">
        <v>0</v>
      </c>
      <c r="L76" s="84">
        <v>0</v>
      </c>
      <c r="M76" s="11" t="e">
        <f t="shared" si="2"/>
        <v>#DIV/0!</v>
      </c>
      <c r="N76" s="122" t="s">
        <v>492</v>
      </c>
    </row>
    <row r="77" spans="1:14" ht="30" customHeight="1" x14ac:dyDescent="0.25">
      <c r="A77" s="131" t="s">
        <v>128</v>
      </c>
      <c r="B77" s="85" t="s">
        <v>312</v>
      </c>
      <c r="C77" s="98" t="s">
        <v>313</v>
      </c>
      <c r="D77" s="98" t="s">
        <v>314</v>
      </c>
      <c r="E77" s="11" t="s">
        <v>315</v>
      </c>
      <c r="F77" s="76">
        <v>0.66400000000000003</v>
      </c>
      <c r="G77" s="133" t="s">
        <v>259</v>
      </c>
      <c r="H77" s="11">
        <v>500</v>
      </c>
      <c r="I77" s="11">
        <v>471</v>
      </c>
      <c r="J77" s="84">
        <f t="shared" si="3"/>
        <v>0.94199999999999995</v>
      </c>
      <c r="K77" s="11">
        <v>0</v>
      </c>
      <c r="L77" s="84">
        <v>0</v>
      </c>
      <c r="M77" s="11" t="e">
        <f t="shared" si="2"/>
        <v>#DIV/0!</v>
      </c>
      <c r="N77" s="122" t="s">
        <v>375</v>
      </c>
    </row>
    <row r="78" spans="1:14" ht="30" customHeight="1" x14ac:dyDescent="0.25">
      <c r="A78" s="126"/>
      <c r="B78" s="85" t="s">
        <v>316</v>
      </c>
      <c r="C78" s="98" t="s">
        <v>317</v>
      </c>
      <c r="D78" s="98" t="s">
        <v>318</v>
      </c>
      <c r="E78" s="11" t="s">
        <v>319</v>
      </c>
      <c r="F78" s="76">
        <v>0.13700000000000001</v>
      </c>
      <c r="G78" s="128"/>
      <c r="H78" s="11">
        <v>10</v>
      </c>
      <c r="I78" s="105">
        <v>7.45</v>
      </c>
      <c r="J78" s="84">
        <f t="shared" si="3"/>
        <v>0.745</v>
      </c>
      <c r="K78" s="11">
        <v>0</v>
      </c>
      <c r="L78" s="84">
        <v>0</v>
      </c>
      <c r="M78" s="11" t="e">
        <f t="shared" si="2"/>
        <v>#DIV/0!</v>
      </c>
      <c r="N78" s="122" t="s">
        <v>493</v>
      </c>
    </row>
    <row r="79" spans="1:14" ht="30" customHeight="1" x14ac:dyDescent="0.25">
      <c r="A79" s="132"/>
      <c r="B79" s="85" t="s">
        <v>320</v>
      </c>
      <c r="C79" s="98" t="s">
        <v>321</v>
      </c>
      <c r="D79" s="98" t="s">
        <v>322</v>
      </c>
      <c r="E79" s="11" t="s">
        <v>315</v>
      </c>
      <c r="F79" s="76">
        <v>0.19800000000000001</v>
      </c>
      <c r="G79" s="134"/>
      <c r="H79" s="11">
        <v>10</v>
      </c>
      <c r="I79" s="11">
        <v>6.99</v>
      </c>
      <c r="J79" s="84">
        <f t="shared" si="3"/>
        <v>0.69900000000000007</v>
      </c>
      <c r="K79" s="11">
        <v>0</v>
      </c>
      <c r="L79" s="84">
        <v>0</v>
      </c>
      <c r="M79" s="11" t="e">
        <f t="shared" si="2"/>
        <v>#DIV/0!</v>
      </c>
      <c r="N79" s="160" t="s">
        <v>494</v>
      </c>
    </row>
    <row r="80" spans="1:14" ht="30" customHeight="1" x14ac:dyDescent="0.25">
      <c r="A80" s="125" t="s">
        <v>129</v>
      </c>
      <c r="B80" s="85" t="s">
        <v>312</v>
      </c>
      <c r="C80" s="98" t="s">
        <v>313</v>
      </c>
      <c r="D80" s="98" t="s">
        <v>314</v>
      </c>
      <c r="E80" s="11" t="s">
        <v>315</v>
      </c>
      <c r="F80" s="76">
        <v>0.66400000000000003</v>
      </c>
      <c r="G80" s="130" t="s">
        <v>259</v>
      </c>
      <c r="H80" s="11">
        <v>500</v>
      </c>
      <c r="I80" s="94" t="e">
        <f>+[4]INVERSIÓN!#REF!</f>
        <v>#REF!</v>
      </c>
      <c r="J80" s="84" t="e">
        <f t="shared" si="3"/>
        <v>#REF!</v>
      </c>
      <c r="K80" s="11">
        <v>0</v>
      </c>
      <c r="L80" s="84">
        <v>0</v>
      </c>
      <c r="M80" s="11" t="e">
        <f t="shared" si="2"/>
        <v>#DIV/0!</v>
      </c>
      <c r="N80" s="122" t="s">
        <v>376</v>
      </c>
    </row>
    <row r="81" spans="1:14" ht="30" customHeight="1" x14ac:dyDescent="0.25">
      <c r="A81" s="126"/>
      <c r="B81" s="85" t="s">
        <v>316</v>
      </c>
      <c r="C81" s="98" t="s">
        <v>317</v>
      </c>
      <c r="D81" s="98" t="s">
        <v>318</v>
      </c>
      <c r="E81" s="11" t="s">
        <v>319</v>
      </c>
      <c r="F81" s="76">
        <v>0.13700000000000001</v>
      </c>
      <c r="G81" s="128"/>
      <c r="H81" s="11">
        <v>10</v>
      </c>
      <c r="I81" s="105" t="e">
        <f>+[4]INVERSIÓN!#REF!</f>
        <v>#REF!</v>
      </c>
      <c r="J81" s="84" t="e">
        <f t="shared" si="3"/>
        <v>#REF!</v>
      </c>
      <c r="K81" s="11">
        <v>0</v>
      </c>
      <c r="L81" s="84">
        <v>0</v>
      </c>
      <c r="M81" s="11" t="e">
        <f t="shared" si="2"/>
        <v>#DIV/0!</v>
      </c>
      <c r="N81" s="122" t="s">
        <v>495</v>
      </c>
    </row>
    <row r="82" spans="1:14" ht="30" customHeight="1" thickBot="1" x14ac:dyDescent="0.3">
      <c r="A82" s="127"/>
      <c r="B82" s="85" t="s">
        <v>320</v>
      </c>
      <c r="C82" s="98" t="s">
        <v>321</v>
      </c>
      <c r="D82" s="98" t="s">
        <v>322</v>
      </c>
      <c r="E82" s="11" t="s">
        <v>315</v>
      </c>
      <c r="F82" s="76">
        <v>0.19800000000000001</v>
      </c>
      <c r="G82" s="129"/>
      <c r="H82" s="11">
        <v>10</v>
      </c>
      <c r="I82" s="94" t="e">
        <f>+[4]INVERSIÓN!#REF!</f>
        <v>#REF!</v>
      </c>
      <c r="J82" s="84" t="e">
        <f t="shared" si="3"/>
        <v>#REF!</v>
      </c>
      <c r="K82" s="11">
        <v>0</v>
      </c>
      <c r="L82" s="84">
        <v>0</v>
      </c>
      <c r="M82" s="11" t="e">
        <f t="shared" si="2"/>
        <v>#DIV/0!</v>
      </c>
      <c r="N82" s="122" t="s">
        <v>496</v>
      </c>
    </row>
    <row r="83" spans="1:14" ht="16.5" customHeight="1" x14ac:dyDescent="0.25"/>
    <row r="84" spans="1:14" ht="16.5" customHeight="1" thickBot="1" x14ac:dyDescent="0.3"/>
    <row r="85" spans="1:14" ht="16.5" customHeight="1" x14ac:dyDescent="0.25">
      <c r="A85" s="883" t="s">
        <v>340</v>
      </c>
      <c r="B85" s="884"/>
      <c r="C85" s="884"/>
      <c r="D85" s="884"/>
      <c r="E85" s="884"/>
      <c r="F85" s="884"/>
      <c r="G85" s="884"/>
      <c r="H85" s="884"/>
      <c r="I85" s="884"/>
      <c r="J85" s="884"/>
      <c r="K85" s="884"/>
      <c r="L85" s="884"/>
      <c r="M85" s="884"/>
      <c r="N85" s="885"/>
    </row>
    <row r="86" spans="1:14" ht="16.5" customHeight="1" x14ac:dyDescent="0.25">
      <c r="A86" s="26" t="s">
        <v>48</v>
      </c>
      <c r="B86" s="27" t="s">
        <v>137</v>
      </c>
      <c r="C86" s="27" t="s">
        <v>138</v>
      </c>
      <c r="D86" s="27" t="s">
        <v>139</v>
      </c>
      <c r="E86" s="27" t="s">
        <v>140</v>
      </c>
      <c r="F86" s="27" t="s">
        <v>141</v>
      </c>
      <c r="G86" s="27" t="s">
        <v>142</v>
      </c>
      <c r="H86" s="27" t="s">
        <v>143</v>
      </c>
      <c r="I86" s="27" t="s">
        <v>144</v>
      </c>
      <c r="J86" s="27" t="s">
        <v>145</v>
      </c>
      <c r="K86" s="27" t="s">
        <v>146</v>
      </c>
      <c r="L86" s="27" t="s">
        <v>147</v>
      </c>
      <c r="M86" s="27" t="s">
        <v>148</v>
      </c>
      <c r="N86" s="28" t="s">
        <v>149</v>
      </c>
    </row>
    <row r="87" spans="1:14" ht="16.5" customHeight="1" x14ac:dyDescent="0.25">
      <c r="A87" s="879" t="s">
        <v>130</v>
      </c>
      <c r="B87" s="85" t="s">
        <v>312</v>
      </c>
      <c r="C87" s="98" t="s">
        <v>313</v>
      </c>
      <c r="D87" s="98" t="s">
        <v>314</v>
      </c>
      <c r="E87" s="11" t="s">
        <v>315</v>
      </c>
      <c r="F87" s="86">
        <v>0.66400000000000003</v>
      </c>
      <c r="G87" s="927" t="s">
        <v>259</v>
      </c>
      <c r="H87" s="11">
        <v>2117</v>
      </c>
      <c r="I87" s="11">
        <v>0</v>
      </c>
      <c r="J87" s="84">
        <v>0</v>
      </c>
      <c r="K87" s="11">
        <v>0</v>
      </c>
      <c r="L87" s="11">
        <v>0</v>
      </c>
      <c r="M87" s="11" t="e">
        <v>#DIV/0!</v>
      </c>
      <c r="N87" s="136"/>
    </row>
    <row r="88" spans="1:14" ht="16.5" customHeight="1" x14ac:dyDescent="0.25">
      <c r="A88" s="880"/>
      <c r="B88" s="85" t="s">
        <v>316</v>
      </c>
      <c r="C88" s="98" t="s">
        <v>317</v>
      </c>
      <c r="D88" s="98" t="s">
        <v>318</v>
      </c>
      <c r="E88" s="11" t="s">
        <v>319</v>
      </c>
      <c r="F88" s="86">
        <v>0.13700000000000001</v>
      </c>
      <c r="G88" s="928"/>
      <c r="H88" s="11">
        <v>12</v>
      </c>
      <c r="I88" s="11">
        <v>0.42</v>
      </c>
      <c r="J88" s="84">
        <v>3.4999999999999996E-2</v>
      </c>
      <c r="K88" s="11">
        <v>0</v>
      </c>
      <c r="L88" s="11">
        <v>0</v>
      </c>
      <c r="M88" s="11" t="e">
        <v>#DIV/0!</v>
      </c>
      <c r="N88" s="137"/>
    </row>
    <row r="89" spans="1:14" ht="16.5" customHeight="1" x14ac:dyDescent="0.25">
      <c r="A89" s="905"/>
      <c r="B89" s="85" t="s">
        <v>320</v>
      </c>
      <c r="C89" s="98" t="s">
        <v>321</v>
      </c>
      <c r="D89" s="98" t="s">
        <v>322</v>
      </c>
      <c r="E89" s="11" t="s">
        <v>315</v>
      </c>
      <c r="F89" s="86">
        <v>0.19800000000000001</v>
      </c>
      <c r="G89" s="932"/>
      <c r="H89" s="11">
        <v>12</v>
      </c>
      <c r="I89" s="11">
        <v>0.6</v>
      </c>
      <c r="J89" s="84">
        <v>4.9999999999999996E-2</v>
      </c>
      <c r="K89" s="11">
        <v>0</v>
      </c>
      <c r="L89" s="11">
        <v>0</v>
      </c>
      <c r="M89" s="11" t="e">
        <v>#DIV/0!</v>
      </c>
      <c r="N89" s="137"/>
    </row>
    <row r="90" spans="1:14" ht="16.5" customHeight="1" x14ac:dyDescent="0.25">
      <c r="A90" s="879" t="s">
        <v>131</v>
      </c>
      <c r="B90" s="85" t="s">
        <v>312</v>
      </c>
      <c r="C90" s="98" t="s">
        <v>313</v>
      </c>
      <c r="D90" s="98" t="s">
        <v>314</v>
      </c>
      <c r="E90" s="11" t="s">
        <v>315</v>
      </c>
      <c r="F90" s="86">
        <v>0.66400000000000003</v>
      </c>
      <c r="G90" s="927" t="s">
        <v>259</v>
      </c>
      <c r="H90" s="11">
        <v>2117</v>
      </c>
      <c r="I90" s="11">
        <v>0</v>
      </c>
      <c r="J90" s="84">
        <v>0</v>
      </c>
      <c r="K90" s="11">
        <v>0</v>
      </c>
      <c r="L90" s="11">
        <v>0</v>
      </c>
      <c r="M90" s="11" t="e">
        <v>#DIV/0!</v>
      </c>
      <c r="N90" s="138" t="s">
        <v>341</v>
      </c>
    </row>
    <row r="91" spans="1:14" ht="16.5" customHeight="1" x14ac:dyDescent="0.25">
      <c r="A91" s="880"/>
      <c r="B91" s="85" t="s">
        <v>316</v>
      </c>
      <c r="C91" s="98" t="s">
        <v>317</v>
      </c>
      <c r="D91" s="98" t="s">
        <v>318</v>
      </c>
      <c r="E91" s="11" t="s">
        <v>319</v>
      </c>
      <c r="F91" s="86">
        <v>0.13700000000000001</v>
      </c>
      <c r="G91" s="928"/>
      <c r="H91" s="11">
        <v>12</v>
      </c>
      <c r="I91" s="11">
        <v>0.54</v>
      </c>
      <c r="J91" s="84">
        <v>4.5000000000000005E-2</v>
      </c>
      <c r="K91" s="11">
        <v>0</v>
      </c>
      <c r="L91" s="11">
        <v>0</v>
      </c>
      <c r="M91" s="11" t="e">
        <v>#DIV/0!</v>
      </c>
      <c r="N91" s="138" t="s">
        <v>497</v>
      </c>
    </row>
    <row r="92" spans="1:14" ht="16.5" customHeight="1" thickBot="1" x14ac:dyDescent="0.3">
      <c r="A92" s="926"/>
      <c r="B92" s="85" t="s">
        <v>320</v>
      </c>
      <c r="C92" s="98" t="s">
        <v>321</v>
      </c>
      <c r="D92" s="98" t="s">
        <v>322</v>
      </c>
      <c r="E92" s="11" t="s">
        <v>315</v>
      </c>
      <c r="F92" s="86">
        <v>0.19800000000000001</v>
      </c>
      <c r="G92" s="929"/>
      <c r="H92" s="11">
        <v>12</v>
      </c>
      <c r="I92" s="11">
        <v>1.44</v>
      </c>
      <c r="J92" s="84">
        <v>0.12</v>
      </c>
      <c r="K92" s="11">
        <v>0</v>
      </c>
      <c r="L92" s="11">
        <v>0</v>
      </c>
      <c r="M92" s="11" t="e">
        <v>#DIV/0!</v>
      </c>
      <c r="N92" s="138" t="s">
        <v>498</v>
      </c>
    </row>
    <row r="93" spans="1:14" ht="16.5" customHeight="1" x14ac:dyDescent="0.25">
      <c r="A93" s="879" t="s">
        <v>132</v>
      </c>
      <c r="B93" s="85" t="s">
        <v>312</v>
      </c>
      <c r="C93" s="98" t="s">
        <v>313</v>
      </c>
      <c r="D93" s="98" t="s">
        <v>314</v>
      </c>
      <c r="E93" s="11" t="s">
        <v>315</v>
      </c>
      <c r="F93" s="86">
        <v>0.66400000000000003</v>
      </c>
      <c r="G93" s="927" t="s">
        <v>259</v>
      </c>
      <c r="H93" s="11">
        <v>2117</v>
      </c>
      <c r="I93" s="11">
        <v>0</v>
      </c>
      <c r="J93" s="84">
        <v>0</v>
      </c>
      <c r="K93" s="11">
        <v>0</v>
      </c>
      <c r="L93" s="11">
        <v>0</v>
      </c>
      <c r="M93" s="11" t="e">
        <v>#DIV/0!</v>
      </c>
      <c r="N93" s="138" t="s">
        <v>355</v>
      </c>
    </row>
    <row r="94" spans="1:14" ht="16.5" customHeight="1" x14ac:dyDescent="0.25">
      <c r="A94" s="880"/>
      <c r="B94" s="85" t="s">
        <v>316</v>
      </c>
      <c r="C94" s="98" t="s">
        <v>317</v>
      </c>
      <c r="D94" s="98" t="s">
        <v>318</v>
      </c>
      <c r="E94" s="11" t="s">
        <v>319</v>
      </c>
      <c r="F94" s="86">
        <v>0.13700000000000001</v>
      </c>
      <c r="G94" s="928"/>
      <c r="H94" s="11">
        <v>12</v>
      </c>
      <c r="I94" s="87">
        <v>1.52</v>
      </c>
      <c r="J94" s="84">
        <v>0.12666666666666668</v>
      </c>
      <c r="K94" s="11">
        <v>0</v>
      </c>
      <c r="L94" s="11">
        <v>0</v>
      </c>
      <c r="M94" s="11" t="e">
        <v>#DIV/0!</v>
      </c>
      <c r="N94" s="138" t="s">
        <v>356</v>
      </c>
    </row>
    <row r="95" spans="1:14" ht="16.5" customHeight="1" thickBot="1" x14ac:dyDescent="0.3">
      <c r="A95" s="926"/>
      <c r="B95" s="85" t="s">
        <v>320</v>
      </c>
      <c r="C95" s="98" t="s">
        <v>321</v>
      </c>
      <c r="D95" s="98" t="s">
        <v>322</v>
      </c>
      <c r="E95" s="11" t="s">
        <v>315</v>
      </c>
      <c r="F95" s="86">
        <v>0.19800000000000001</v>
      </c>
      <c r="G95" s="929"/>
      <c r="H95" s="11">
        <v>12</v>
      </c>
      <c r="I95" s="87">
        <v>2.76</v>
      </c>
      <c r="J95" s="84">
        <v>0.22999999999999998</v>
      </c>
      <c r="K95" s="11">
        <v>0</v>
      </c>
      <c r="L95" s="11">
        <v>0</v>
      </c>
      <c r="M95" s="11" t="e">
        <v>#DIV/0!</v>
      </c>
      <c r="N95" s="138" t="s">
        <v>357</v>
      </c>
    </row>
    <row r="96" spans="1:14" ht="16.5" customHeight="1" x14ac:dyDescent="0.25">
      <c r="A96" s="879" t="s">
        <v>133</v>
      </c>
      <c r="B96" s="85" t="s">
        <v>312</v>
      </c>
      <c r="C96" s="98" t="s">
        <v>313</v>
      </c>
      <c r="D96" s="98" t="s">
        <v>314</v>
      </c>
      <c r="E96" s="11" t="s">
        <v>315</v>
      </c>
      <c r="F96" s="76">
        <v>0.66400000000000003</v>
      </c>
      <c r="G96" s="927" t="s">
        <v>259</v>
      </c>
      <c r="H96" s="11">
        <v>2117</v>
      </c>
      <c r="I96" s="94">
        <v>33</v>
      </c>
      <c r="J96" s="84">
        <v>1.5588096362777516E-2</v>
      </c>
      <c r="K96" s="11">
        <v>0</v>
      </c>
      <c r="L96" s="11">
        <v>0</v>
      </c>
      <c r="M96" s="11" t="e">
        <v>#DIV/0!</v>
      </c>
      <c r="N96" s="138" t="s">
        <v>355</v>
      </c>
    </row>
    <row r="97" spans="1:14" ht="16.5" customHeight="1" x14ac:dyDescent="0.25">
      <c r="A97" s="880"/>
      <c r="B97" s="85" t="s">
        <v>316</v>
      </c>
      <c r="C97" s="98" t="s">
        <v>317</v>
      </c>
      <c r="D97" s="98" t="s">
        <v>318</v>
      </c>
      <c r="E97" s="11" t="s">
        <v>319</v>
      </c>
      <c r="F97" s="76">
        <v>0.13700000000000001</v>
      </c>
      <c r="G97" s="928"/>
      <c r="H97" s="11">
        <v>12</v>
      </c>
      <c r="I97" s="87">
        <v>2.72</v>
      </c>
      <c r="J97" s="84">
        <v>0.22666666666666668</v>
      </c>
      <c r="K97" s="11">
        <v>0</v>
      </c>
      <c r="L97" s="11">
        <v>0</v>
      </c>
      <c r="M97" s="11" t="e">
        <v>#DIV/0!</v>
      </c>
      <c r="N97" s="138" t="s">
        <v>356</v>
      </c>
    </row>
    <row r="98" spans="1:14" ht="16.5" customHeight="1" thickBot="1" x14ac:dyDescent="0.3">
      <c r="A98" s="926"/>
      <c r="B98" s="85" t="s">
        <v>320</v>
      </c>
      <c r="C98" s="98" t="s">
        <v>321</v>
      </c>
      <c r="D98" s="98" t="s">
        <v>322</v>
      </c>
      <c r="E98" s="11" t="s">
        <v>315</v>
      </c>
      <c r="F98" s="76">
        <v>0.19800000000000001</v>
      </c>
      <c r="G98" s="929"/>
      <c r="H98" s="11">
        <v>12</v>
      </c>
      <c r="I98" s="87">
        <v>4.08</v>
      </c>
      <c r="J98" s="84">
        <v>0.34</v>
      </c>
      <c r="K98" s="11">
        <v>0</v>
      </c>
      <c r="L98" s="11">
        <v>0</v>
      </c>
      <c r="M98" s="11" t="e">
        <v>#DIV/0!</v>
      </c>
      <c r="N98" s="138" t="s">
        <v>357</v>
      </c>
    </row>
    <row r="99" spans="1:14" ht="16.5" customHeight="1" x14ac:dyDescent="0.25">
      <c r="A99" s="879" t="s">
        <v>134</v>
      </c>
      <c r="B99" s="85" t="s">
        <v>312</v>
      </c>
      <c r="C99" s="98" t="s">
        <v>313</v>
      </c>
      <c r="D99" s="98" t="s">
        <v>314</v>
      </c>
      <c r="E99" s="11" t="s">
        <v>315</v>
      </c>
      <c r="F99" s="76">
        <v>0.66400000000000003</v>
      </c>
      <c r="G99" s="927" t="s">
        <v>259</v>
      </c>
      <c r="H99" s="11">
        <v>2117</v>
      </c>
      <c r="I99" s="94">
        <v>235</v>
      </c>
      <c r="J99" s="84">
        <v>0.11100614076523382</v>
      </c>
      <c r="K99" s="11">
        <v>0</v>
      </c>
      <c r="L99" s="11">
        <v>0</v>
      </c>
      <c r="M99" s="11" t="e">
        <v>#DIV/0!</v>
      </c>
      <c r="N99" s="139" t="s">
        <v>499</v>
      </c>
    </row>
    <row r="100" spans="1:14" ht="16.5" customHeight="1" x14ac:dyDescent="0.25">
      <c r="A100" s="880"/>
      <c r="B100" s="85" t="s">
        <v>316</v>
      </c>
      <c r="C100" s="98" t="s">
        <v>317</v>
      </c>
      <c r="D100" s="98" t="s">
        <v>318</v>
      </c>
      <c r="E100" s="11" t="s">
        <v>319</v>
      </c>
      <c r="F100" s="76">
        <v>0.13700000000000001</v>
      </c>
      <c r="G100" s="928"/>
      <c r="H100" s="11">
        <v>12</v>
      </c>
      <c r="I100" s="87">
        <v>4.22</v>
      </c>
      <c r="J100" s="84">
        <v>0.35166666666666663</v>
      </c>
      <c r="K100" s="11">
        <v>0</v>
      </c>
      <c r="L100" s="11">
        <v>0</v>
      </c>
      <c r="M100" s="11" t="e">
        <v>#DIV/0!</v>
      </c>
      <c r="N100" s="139" t="s">
        <v>342</v>
      </c>
    </row>
    <row r="101" spans="1:14" ht="16.5" customHeight="1" thickBot="1" x14ac:dyDescent="0.3">
      <c r="A101" s="926"/>
      <c r="B101" s="85" t="s">
        <v>320</v>
      </c>
      <c r="C101" s="98" t="s">
        <v>321</v>
      </c>
      <c r="D101" s="98" t="s">
        <v>322</v>
      </c>
      <c r="E101" s="11" t="s">
        <v>315</v>
      </c>
      <c r="F101" s="76">
        <v>0.19800000000000001</v>
      </c>
      <c r="G101" s="929"/>
      <c r="H101" s="11">
        <v>12</v>
      </c>
      <c r="I101" s="87">
        <v>5.4</v>
      </c>
      <c r="J101" s="84">
        <v>0.45</v>
      </c>
      <c r="K101" s="11">
        <v>0</v>
      </c>
      <c r="L101" s="11">
        <v>0</v>
      </c>
      <c r="M101" s="11" t="e">
        <v>#DIV/0!</v>
      </c>
      <c r="N101" s="95" t="s">
        <v>343</v>
      </c>
    </row>
    <row r="102" spans="1:14" ht="16.5" customHeight="1" x14ac:dyDescent="0.25">
      <c r="A102" s="879" t="s">
        <v>135</v>
      </c>
      <c r="B102" s="85" t="s">
        <v>312</v>
      </c>
      <c r="C102" s="98" t="s">
        <v>313</v>
      </c>
      <c r="D102" s="98" t="s">
        <v>314</v>
      </c>
      <c r="E102" s="11" t="s">
        <v>315</v>
      </c>
      <c r="F102" s="76">
        <v>0.66400000000000003</v>
      </c>
      <c r="G102" s="927" t="s">
        <v>259</v>
      </c>
      <c r="H102" s="11">
        <v>2117</v>
      </c>
      <c r="I102" s="87">
        <v>499</v>
      </c>
      <c r="J102" s="84">
        <v>0.23571091166745395</v>
      </c>
      <c r="K102" s="11">
        <v>0</v>
      </c>
      <c r="L102" s="11">
        <v>0</v>
      </c>
      <c r="M102" s="11" t="e">
        <v>#DIV/0!</v>
      </c>
      <c r="N102" s="98" t="s">
        <v>344</v>
      </c>
    </row>
    <row r="103" spans="1:14" ht="16.5" customHeight="1" x14ac:dyDescent="0.25">
      <c r="A103" s="880"/>
      <c r="B103" s="85" t="s">
        <v>316</v>
      </c>
      <c r="C103" s="98" t="s">
        <v>317</v>
      </c>
      <c r="D103" s="98" t="s">
        <v>318</v>
      </c>
      <c r="E103" s="11" t="s">
        <v>319</v>
      </c>
      <c r="F103" s="76">
        <v>0.13700000000000001</v>
      </c>
      <c r="G103" s="928"/>
      <c r="H103" s="11">
        <v>12</v>
      </c>
      <c r="I103" s="87">
        <v>5.5000000000000009</v>
      </c>
      <c r="J103" s="84">
        <v>0.45833333333333343</v>
      </c>
      <c r="K103" s="11">
        <v>0</v>
      </c>
      <c r="L103" s="11">
        <v>0</v>
      </c>
      <c r="M103" s="11" t="e">
        <v>#DIV/0!</v>
      </c>
      <c r="N103" s="98" t="s">
        <v>345</v>
      </c>
    </row>
    <row r="104" spans="1:14" ht="16.5" customHeight="1" thickBot="1" x14ac:dyDescent="0.3">
      <c r="A104" s="926"/>
      <c r="B104" s="85" t="s">
        <v>320</v>
      </c>
      <c r="C104" s="98" t="s">
        <v>321</v>
      </c>
      <c r="D104" s="98" t="s">
        <v>322</v>
      </c>
      <c r="E104" s="11" t="s">
        <v>315</v>
      </c>
      <c r="F104" s="76">
        <v>0.19800000000000001</v>
      </c>
      <c r="G104" s="929"/>
      <c r="H104" s="11">
        <v>12</v>
      </c>
      <c r="I104" s="87">
        <v>6.7200000000000006</v>
      </c>
      <c r="J104" s="84">
        <v>0.56000000000000005</v>
      </c>
      <c r="K104" s="11">
        <v>0</v>
      </c>
      <c r="L104" s="11">
        <v>0</v>
      </c>
      <c r="M104" s="11" t="e">
        <v>#DIV/0!</v>
      </c>
      <c r="N104" s="98" t="s">
        <v>346</v>
      </c>
    </row>
    <row r="105" spans="1:14" ht="16.5" customHeight="1" x14ac:dyDescent="0.25">
      <c r="A105" s="879" t="s">
        <v>124</v>
      </c>
      <c r="B105" s="85" t="s">
        <v>312</v>
      </c>
      <c r="C105" s="98" t="s">
        <v>313</v>
      </c>
      <c r="D105" s="98" t="s">
        <v>314</v>
      </c>
      <c r="E105" s="11" t="s">
        <v>315</v>
      </c>
      <c r="F105" s="76">
        <v>0.66400000000000003</v>
      </c>
      <c r="G105" s="927" t="s">
        <v>259</v>
      </c>
      <c r="H105" s="11">
        <v>2117</v>
      </c>
      <c r="I105" s="87">
        <v>763</v>
      </c>
      <c r="J105" s="102">
        <v>0.36041568256967405</v>
      </c>
      <c r="K105" s="11">
        <v>0</v>
      </c>
      <c r="L105" s="11">
        <v>0</v>
      </c>
      <c r="M105" s="11" t="e">
        <v>#DIV/0!</v>
      </c>
      <c r="N105" s="46" t="s">
        <v>500</v>
      </c>
    </row>
    <row r="106" spans="1:14" ht="16.5" customHeight="1" x14ac:dyDescent="0.25">
      <c r="A106" s="880"/>
      <c r="B106" s="85" t="s">
        <v>316</v>
      </c>
      <c r="C106" s="98" t="s">
        <v>317</v>
      </c>
      <c r="D106" s="98" t="s">
        <v>318</v>
      </c>
      <c r="E106" s="11" t="s">
        <v>319</v>
      </c>
      <c r="F106" s="76">
        <v>0.13700000000000001</v>
      </c>
      <c r="G106" s="928"/>
      <c r="H106" s="11">
        <v>12</v>
      </c>
      <c r="I106" s="87">
        <v>7.2200000000000006</v>
      </c>
      <c r="J106" s="102">
        <v>0.60166666666666668</v>
      </c>
      <c r="K106" s="11">
        <v>0</v>
      </c>
      <c r="L106" s="11">
        <v>0</v>
      </c>
      <c r="M106" s="11" t="e">
        <v>#DIV/0!</v>
      </c>
      <c r="N106" s="46" t="s">
        <v>347</v>
      </c>
    </row>
    <row r="107" spans="1:14" ht="16.5" customHeight="1" thickBot="1" x14ac:dyDescent="0.3">
      <c r="A107" s="926"/>
      <c r="B107" s="85" t="s">
        <v>320</v>
      </c>
      <c r="C107" s="98" t="s">
        <v>321</v>
      </c>
      <c r="D107" s="98" t="s">
        <v>322</v>
      </c>
      <c r="E107" s="11" t="s">
        <v>315</v>
      </c>
      <c r="F107" s="76">
        <v>0.19800000000000001</v>
      </c>
      <c r="G107" s="929"/>
      <c r="H107" s="11">
        <v>12</v>
      </c>
      <c r="I107" s="87">
        <v>8.0400000000000009</v>
      </c>
      <c r="J107" s="102">
        <v>0.67</v>
      </c>
      <c r="K107" s="11">
        <v>0</v>
      </c>
      <c r="L107" s="11">
        <v>0</v>
      </c>
      <c r="M107" s="11" t="e">
        <v>#DIV/0!</v>
      </c>
      <c r="N107" s="46" t="s">
        <v>348</v>
      </c>
    </row>
    <row r="108" spans="1:14" ht="16.5" customHeight="1" x14ac:dyDescent="0.25">
      <c r="A108" s="879" t="s">
        <v>125</v>
      </c>
      <c r="B108" s="85" t="s">
        <v>312</v>
      </c>
      <c r="C108" s="98" t="s">
        <v>313</v>
      </c>
      <c r="D108" s="98" t="s">
        <v>314</v>
      </c>
      <c r="E108" s="11" t="s">
        <v>315</v>
      </c>
      <c r="F108" s="76">
        <v>0.66400000000000003</v>
      </c>
      <c r="G108" s="927" t="s">
        <v>259</v>
      </c>
      <c r="H108" s="11">
        <v>2117</v>
      </c>
      <c r="I108" s="87">
        <v>1027</v>
      </c>
      <c r="J108" s="102">
        <v>0.4851204534718942</v>
      </c>
      <c r="K108" s="11">
        <v>0</v>
      </c>
      <c r="L108" s="11">
        <v>0</v>
      </c>
      <c r="M108" s="11" t="e">
        <v>#REF!</v>
      </c>
      <c r="N108" s="104" t="s">
        <v>501</v>
      </c>
    </row>
    <row r="109" spans="1:14" ht="16.5" customHeight="1" x14ac:dyDescent="0.25">
      <c r="A109" s="880"/>
      <c r="B109" s="85" t="s">
        <v>316</v>
      </c>
      <c r="C109" s="98" t="s">
        <v>317</v>
      </c>
      <c r="D109" s="98" t="s">
        <v>318</v>
      </c>
      <c r="E109" s="11" t="s">
        <v>319</v>
      </c>
      <c r="F109" s="76">
        <v>0.13700000000000001</v>
      </c>
      <c r="G109" s="928"/>
      <c r="H109" s="11">
        <v>12</v>
      </c>
      <c r="I109" s="87">
        <v>8.7200000000000006</v>
      </c>
      <c r="J109" s="102">
        <v>0.72666666666666668</v>
      </c>
      <c r="K109" s="11">
        <v>0</v>
      </c>
      <c r="L109" s="11">
        <v>0</v>
      </c>
      <c r="M109" s="11" t="e">
        <v>#REF!</v>
      </c>
      <c r="N109" s="104" t="s">
        <v>502</v>
      </c>
    </row>
    <row r="110" spans="1:14" ht="16.5" customHeight="1" thickBot="1" x14ac:dyDescent="0.3">
      <c r="A110" s="926"/>
      <c r="B110" s="85" t="s">
        <v>320</v>
      </c>
      <c r="C110" s="98" t="s">
        <v>321</v>
      </c>
      <c r="D110" s="98" t="s">
        <v>322</v>
      </c>
      <c r="E110" s="11" t="s">
        <v>315</v>
      </c>
      <c r="F110" s="76">
        <v>0.19800000000000001</v>
      </c>
      <c r="G110" s="929"/>
      <c r="H110" s="11">
        <v>12</v>
      </c>
      <c r="I110" s="87">
        <v>9.3600000000000012</v>
      </c>
      <c r="J110" s="102">
        <v>0.78000000000000014</v>
      </c>
      <c r="K110" s="11">
        <v>0</v>
      </c>
      <c r="L110" s="11">
        <v>0</v>
      </c>
      <c r="M110" s="11" t="e">
        <v>#REF!</v>
      </c>
      <c r="N110" s="95" t="s">
        <v>358</v>
      </c>
    </row>
    <row r="111" spans="1:14" ht="16.5" customHeight="1" x14ac:dyDescent="0.25">
      <c r="A111" s="879" t="s">
        <v>126</v>
      </c>
      <c r="B111" s="85" t="s">
        <v>312</v>
      </c>
      <c r="C111" s="98" t="s">
        <v>313</v>
      </c>
      <c r="D111" s="98" t="s">
        <v>314</v>
      </c>
      <c r="E111" s="11" t="s">
        <v>315</v>
      </c>
      <c r="F111" s="76">
        <v>0.66400000000000003</v>
      </c>
      <c r="G111" s="927" t="s">
        <v>259</v>
      </c>
      <c r="H111" s="11">
        <v>2117</v>
      </c>
      <c r="I111" s="87">
        <v>1292</v>
      </c>
      <c r="J111" s="102">
        <v>0.61029759093056213</v>
      </c>
      <c r="K111" s="11">
        <v>0</v>
      </c>
      <c r="L111" s="11">
        <v>0</v>
      </c>
      <c r="M111" s="11" t="e">
        <v>#REF!</v>
      </c>
      <c r="N111" s="104" t="s">
        <v>359</v>
      </c>
    </row>
    <row r="112" spans="1:14" ht="16.5" customHeight="1" x14ac:dyDescent="0.25">
      <c r="A112" s="880"/>
      <c r="B112" s="85" t="s">
        <v>316</v>
      </c>
      <c r="C112" s="98" t="s">
        <v>317</v>
      </c>
      <c r="D112" s="98" t="s">
        <v>318</v>
      </c>
      <c r="E112" s="11" t="s">
        <v>319</v>
      </c>
      <c r="F112" s="76">
        <v>0.13700000000000001</v>
      </c>
      <c r="G112" s="928"/>
      <c r="H112" s="11">
        <v>12</v>
      </c>
      <c r="I112" s="87">
        <v>10.220000000000001</v>
      </c>
      <c r="J112" s="102">
        <v>0.85166666666666668</v>
      </c>
      <c r="K112" s="11">
        <v>0</v>
      </c>
      <c r="L112" s="11">
        <v>0</v>
      </c>
      <c r="M112" s="11" t="e">
        <v>#REF!</v>
      </c>
      <c r="N112" s="104" t="s">
        <v>360</v>
      </c>
    </row>
    <row r="113" spans="1:14" ht="16.5" customHeight="1" thickBot="1" x14ac:dyDescent="0.3">
      <c r="A113" s="926"/>
      <c r="B113" s="85" t="s">
        <v>320</v>
      </c>
      <c r="C113" s="98" t="s">
        <v>321</v>
      </c>
      <c r="D113" s="98" t="s">
        <v>322</v>
      </c>
      <c r="E113" s="11" t="s">
        <v>315</v>
      </c>
      <c r="F113" s="76">
        <v>0.19800000000000001</v>
      </c>
      <c r="G113" s="929"/>
      <c r="H113" s="11">
        <v>12</v>
      </c>
      <c r="I113" s="87">
        <v>10.680000000000001</v>
      </c>
      <c r="J113" s="102">
        <v>0.89000000000000012</v>
      </c>
      <c r="K113" s="11">
        <v>0</v>
      </c>
      <c r="L113" s="11">
        <v>0</v>
      </c>
      <c r="M113" s="11" t="e">
        <v>#REF!</v>
      </c>
      <c r="N113" s="95" t="s">
        <v>361</v>
      </c>
    </row>
    <row r="114" spans="1:14" ht="16.5" customHeight="1" x14ac:dyDescent="0.25">
      <c r="A114" s="879" t="s">
        <v>127</v>
      </c>
      <c r="B114" s="85" t="s">
        <v>312</v>
      </c>
      <c r="C114" s="98" t="s">
        <v>313</v>
      </c>
      <c r="D114" s="98" t="s">
        <v>314</v>
      </c>
      <c r="E114" s="11" t="s">
        <v>315</v>
      </c>
      <c r="F114" s="76">
        <v>0.66400000000000003</v>
      </c>
      <c r="G114" s="927" t="s">
        <v>259</v>
      </c>
      <c r="H114" s="11">
        <v>2117</v>
      </c>
      <c r="I114" s="87">
        <v>1584</v>
      </c>
      <c r="J114" s="102">
        <v>0.74822862541332069</v>
      </c>
      <c r="K114" s="11">
        <v>0</v>
      </c>
      <c r="L114" s="11">
        <v>0</v>
      </c>
      <c r="M114" s="11" t="e">
        <v>#REF!</v>
      </c>
      <c r="N114" s="104" t="s">
        <v>349</v>
      </c>
    </row>
    <row r="115" spans="1:14" ht="16.5" customHeight="1" x14ac:dyDescent="0.25">
      <c r="A115" s="880"/>
      <c r="B115" s="85" t="s">
        <v>316</v>
      </c>
      <c r="C115" s="98" t="s">
        <v>317</v>
      </c>
      <c r="D115" s="98" t="s">
        <v>318</v>
      </c>
      <c r="E115" s="11" t="s">
        <v>319</v>
      </c>
      <c r="F115" s="76">
        <v>0.13700000000000001</v>
      </c>
      <c r="G115" s="928"/>
      <c r="H115" s="11">
        <v>12</v>
      </c>
      <c r="I115" s="87">
        <v>11.66</v>
      </c>
      <c r="J115" s="102">
        <v>0.97166666666666668</v>
      </c>
      <c r="K115" s="11">
        <v>0</v>
      </c>
      <c r="L115" s="11">
        <v>0</v>
      </c>
      <c r="M115" s="11" t="e">
        <v>#REF!</v>
      </c>
      <c r="N115" s="104" t="s">
        <v>350</v>
      </c>
    </row>
    <row r="116" spans="1:14" ht="16.5" customHeight="1" thickBot="1" x14ac:dyDescent="0.3">
      <c r="A116" s="926"/>
      <c r="B116" s="85" t="s">
        <v>320</v>
      </c>
      <c r="C116" s="98" t="s">
        <v>321</v>
      </c>
      <c r="D116" s="98" t="s">
        <v>322</v>
      </c>
      <c r="E116" s="11" t="s">
        <v>315</v>
      </c>
      <c r="F116" s="76">
        <v>0.19800000000000001</v>
      </c>
      <c r="G116" s="929"/>
      <c r="H116" s="11">
        <v>12</v>
      </c>
      <c r="I116" s="87">
        <v>11.64</v>
      </c>
      <c r="J116" s="102">
        <v>0.97000000000000008</v>
      </c>
      <c r="K116" s="11">
        <v>0</v>
      </c>
      <c r="L116" s="11">
        <v>0</v>
      </c>
      <c r="M116" s="11" t="e">
        <v>#REF!</v>
      </c>
      <c r="N116" s="95" t="s">
        <v>351</v>
      </c>
    </row>
    <row r="117" spans="1:14" ht="16.5" customHeight="1" x14ac:dyDescent="0.25">
      <c r="A117" s="930" t="s">
        <v>128</v>
      </c>
      <c r="B117" s="85" t="s">
        <v>312</v>
      </c>
      <c r="C117" s="98" t="s">
        <v>313</v>
      </c>
      <c r="D117" s="98" t="s">
        <v>314</v>
      </c>
      <c r="E117" s="11" t="s">
        <v>315</v>
      </c>
      <c r="F117" s="76">
        <v>0.66400000000000003</v>
      </c>
      <c r="G117" s="931" t="s">
        <v>259</v>
      </c>
      <c r="H117" s="11">
        <v>2117</v>
      </c>
      <c r="I117" s="87">
        <v>1885</v>
      </c>
      <c r="J117" s="102">
        <v>0.8904109589041096</v>
      </c>
      <c r="K117" s="11">
        <v>0</v>
      </c>
      <c r="L117" s="11">
        <v>0</v>
      </c>
      <c r="M117" s="11" t="e">
        <v>#REF!</v>
      </c>
      <c r="N117" s="95" t="s">
        <v>352</v>
      </c>
    </row>
    <row r="118" spans="1:14" ht="16.5" customHeight="1" x14ac:dyDescent="0.25">
      <c r="A118" s="880"/>
      <c r="B118" s="85" t="s">
        <v>316</v>
      </c>
      <c r="C118" s="98" t="s">
        <v>317</v>
      </c>
      <c r="D118" s="98" t="s">
        <v>318</v>
      </c>
      <c r="E118" s="11" t="s">
        <v>319</v>
      </c>
      <c r="F118" s="76">
        <v>0.13700000000000001</v>
      </c>
      <c r="G118" s="928"/>
      <c r="H118" s="11">
        <v>12</v>
      </c>
      <c r="I118" s="87">
        <v>11.85</v>
      </c>
      <c r="J118" s="102">
        <v>0.98749999999999993</v>
      </c>
      <c r="K118" s="11">
        <v>0</v>
      </c>
      <c r="L118" s="11">
        <v>0</v>
      </c>
      <c r="M118" s="11" t="e">
        <v>#REF!</v>
      </c>
      <c r="N118" s="95" t="s">
        <v>353</v>
      </c>
    </row>
    <row r="119" spans="1:14" ht="16.5" customHeight="1" x14ac:dyDescent="0.25">
      <c r="A119" s="905"/>
      <c r="B119" s="85" t="s">
        <v>320</v>
      </c>
      <c r="C119" s="98" t="s">
        <v>321</v>
      </c>
      <c r="D119" s="98" t="s">
        <v>322</v>
      </c>
      <c r="E119" s="11" t="s">
        <v>315</v>
      </c>
      <c r="F119" s="76">
        <v>0.19800000000000001</v>
      </c>
      <c r="G119" s="932"/>
      <c r="H119" s="11">
        <v>12</v>
      </c>
      <c r="I119" s="87">
        <v>11.82</v>
      </c>
      <c r="J119" s="102">
        <v>0.98499999999999999</v>
      </c>
      <c r="K119" s="11">
        <v>0</v>
      </c>
      <c r="L119" s="11">
        <v>0</v>
      </c>
      <c r="M119" s="11" t="e">
        <v>#REF!</v>
      </c>
      <c r="N119" s="95" t="s">
        <v>354</v>
      </c>
    </row>
    <row r="120" spans="1:14" ht="16.5" customHeight="1" x14ac:dyDescent="0.25">
      <c r="A120" s="879" t="s">
        <v>129</v>
      </c>
      <c r="B120" s="85" t="s">
        <v>312</v>
      </c>
      <c r="C120" s="98" t="s">
        <v>313</v>
      </c>
      <c r="D120" s="98" t="s">
        <v>314</v>
      </c>
      <c r="E120" s="11" t="s">
        <v>315</v>
      </c>
      <c r="F120" s="76">
        <v>0.66400000000000003</v>
      </c>
      <c r="G120" s="927" t="s">
        <v>259</v>
      </c>
      <c r="H120" s="11">
        <v>2117</v>
      </c>
      <c r="I120" s="87">
        <v>2095</v>
      </c>
      <c r="J120" s="102">
        <v>0.98960793575814832</v>
      </c>
      <c r="K120" s="11">
        <v>0</v>
      </c>
      <c r="L120" s="11">
        <v>0</v>
      </c>
      <c r="M120" s="11" t="e">
        <v>#REF!</v>
      </c>
      <c r="N120" s="104" t="s">
        <v>362</v>
      </c>
    </row>
    <row r="121" spans="1:14" ht="16.5" customHeight="1" x14ac:dyDescent="0.25">
      <c r="A121" s="880"/>
      <c r="B121" s="85" t="s">
        <v>316</v>
      </c>
      <c r="C121" s="98" t="s">
        <v>317</v>
      </c>
      <c r="D121" s="98" t="s">
        <v>318</v>
      </c>
      <c r="E121" s="11" t="s">
        <v>319</v>
      </c>
      <c r="F121" s="76">
        <v>0.13700000000000001</v>
      </c>
      <c r="G121" s="928"/>
      <c r="H121" s="11">
        <v>12</v>
      </c>
      <c r="I121" s="87">
        <v>12</v>
      </c>
      <c r="J121" s="102">
        <v>1</v>
      </c>
      <c r="K121" s="11">
        <v>0</v>
      </c>
      <c r="L121" s="11">
        <v>0</v>
      </c>
      <c r="M121" s="11" t="e">
        <v>#REF!</v>
      </c>
      <c r="N121" s="104" t="s">
        <v>363</v>
      </c>
    </row>
    <row r="122" spans="1:14" ht="16.5" customHeight="1" thickBot="1" x14ac:dyDescent="0.3">
      <c r="A122" s="926"/>
      <c r="B122" s="85" t="s">
        <v>320</v>
      </c>
      <c r="C122" s="98" t="s">
        <v>321</v>
      </c>
      <c r="D122" s="98" t="s">
        <v>322</v>
      </c>
      <c r="E122" s="11" t="s">
        <v>315</v>
      </c>
      <c r="F122" s="76">
        <v>0.19800000000000001</v>
      </c>
      <c r="G122" s="929"/>
      <c r="H122" s="11">
        <v>12</v>
      </c>
      <c r="I122" s="87">
        <v>12</v>
      </c>
      <c r="J122" s="102">
        <v>1</v>
      </c>
      <c r="K122" s="11">
        <v>0</v>
      </c>
      <c r="L122" s="11">
        <v>0</v>
      </c>
      <c r="M122" s="11" t="e">
        <v>#REF!</v>
      </c>
      <c r="N122" s="95" t="s">
        <v>364</v>
      </c>
    </row>
    <row r="123" spans="1:14" ht="16.5" customHeight="1" x14ac:dyDescent="0.25"/>
    <row r="124" spans="1:14" ht="16.5" customHeight="1" thickBot="1" x14ac:dyDescent="0.3"/>
    <row r="125" spans="1:14" ht="23.25" customHeight="1" x14ac:dyDescent="0.25">
      <c r="A125" s="883" t="s">
        <v>151</v>
      </c>
      <c r="B125" s="884"/>
      <c r="C125" s="884"/>
      <c r="D125" s="884"/>
      <c r="E125" s="884"/>
      <c r="F125" s="884"/>
      <c r="G125" s="884"/>
      <c r="H125" s="884"/>
      <c r="I125" s="884"/>
      <c r="J125" s="884"/>
      <c r="K125" s="884"/>
      <c r="L125" s="884"/>
      <c r="M125" s="884"/>
      <c r="N125" s="885"/>
    </row>
    <row r="126" spans="1:14" ht="44.25" customHeight="1" x14ac:dyDescent="0.25">
      <c r="A126" s="246" t="s">
        <v>61</v>
      </c>
      <c r="B126" s="247" t="s">
        <v>137</v>
      </c>
      <c r="C126" s="247" t="s">
        <v>138</v>
      </c>
      <c r="D126" s="247" t="s">
        <v>139</v>
      </c>
      <c r="E126" s="27" t="s">
        <v>140</v>
      </c>
      <c r="F126" s="27" t="s">
        <v>141</v>
      </c>
      <c r="G126" s="27" t="s">
        <v>142</v>
      </c>
      <c r="H126" s="27" t="s">
        <v>386</v>
      </c>
      <c r="I126" s="27" t="s">
        <v>387</v>
      </c>
      <c r="J126" s="27" t="s">
        <v>388</v>
      </c>
      <c r="K126" s="27" t="s">
        <v>146</v>
      </c>
      <c r="L126" s="27" t="s">
        <v>147</v>
      </c>
      <c r="M126" s="27" t="s">
        <v>148</v>
      </c>
      <c r="N126" s="28" t="s">
        <v>149</v>
      </c>
    </row>
    <row r="127" spans="1:14" ht="25.35" customHeight="1" x14ac:dyDescent="0.25">
      <c r="A127" s="881" t="s">
        <v>130</v>
      </c>
      <c r="B127" s="85" t="s">
        <v>312</v>
      </c>
      <c r="C127" s="98" t="s">
        <v>313</v>
      </c>
      <c r="D127" s="98" t="s">
        <v>314</v>
      </c>
      <c r="E127" s="11" t="s">
        <v>315</v>
      </c>
      <c r="F127" s="86">
        <v>0.66400000000000003</v>
      </c>
      <c r="G127" s="890" t="s">
        <v>259</v>
      </c>
      <c r="H127" s="11">
        <f>+[9]INVERSIÓN!BF10</f>
        <v>7017</v>
      </c>
      <c r="I127" s="11">
        <f>+[9]INVERSIÓN!CI10</f>
        <v>40</v>
      </c>
      <c r="J127" s="102">
        <f>+I127/H127</f>
        <v>5.7004417842382782E-3</v>
      </c>
      <c r="K127" s="94">
        <f>+[9]INVERSIÓN!CH13</f>
        <v>22</v>
      </c>
      <c r="L127" s="11">
        <f>+[9]INVERSIÓN!CI13</f>
        <v>8</v>
      </c>
      <c r="M127" s="168">
        <f>+L127/K127</f>
        <v>0.36363636363636365</v>
      </c>
      <c r="N127" s="98" t="s">
        <v>336</v>
      </c>
    </row>
    <row r="128" spans="1:14" ht="25.35" customHeight="1" x14ac:dyDescent="0.25">
      <c r="A128" s="881"/>
      <c r="B128" s="85" t="s">
        <v>316</v>
      </c>
      <c r="C128" s="98" t="s">
        <v>317</v>
      </c>
      <c r="D128" s="98" t="s">
        <v>318</v>
      </c>
      <c r="E128" s="11" t="s">
        <v>319</v>
      </c>
      <c r="F128" s="86">
        <v>0.13700000000000001</v>
      </c>
      <c r="G128" s="890"/>
      <c r="H128" s="94">
        <f>+[9]INVERSIÓN!CH17</f>
        <v>31.000000000000004</v>
      </c>
      <c r="I128" s="94">
        <f>+[9]INVERSIÓN!CI17</f>
        <v>0.56000000000000005</v>
      </c>
      <c r="J128" s="102">
        <f>I128/H128</f>
        <v>1.8064516129032256E-2</v>
      </c>
      <c r="K128" s="11">
        <v>0</v>
      </c>
      <c r="L128" s="11">
        <v>0</v>
      </c>
      <c r="M128" s="168" t="e">
        <f>L128/K128</f>
        <v>#DIV/0!</v>
      </c>
      <c r="N128" s="98" t="s">
        <v>336</v>
      </c>
    </row>
    <row r="129" spans="1:14" ht="25.35" customHeight="1" x14ac:dyDescent="0.25">
      <c r="A129" s="881"/>
      <c r="B129" s="85" t="s">
        <v>320</v>
      </c>
      <c r="C129" s="98" t="s">
        <v>321</v>
      </c>
      <c r="D129" s="98" t="s">
        <v>322</v>
      </c>
      <c r="E129" s="11" t="s">
        <v>315</v>
      </c>
      <c r="F129" s="86">
        <v>0.19800000000000001</v>
      </c>
      <c r="G129" s="890"/>
      <c r="H129" s="94">
        <f>+[9]INVERSIÓN!CH24</f>
        <v>31.000000000000004</v>
      </c>
      <c r="I129" s="11">
        <f>+[9]INVERSIÓN!CI24</f>
        <v>1.5</v>
      </c>
      <c r="J129" s="102">
        <f>I129/H129</f>
        <v>4.838709677419354E-2</v>
      </c>
      <c r="K129" s="11">
        <v>0</v>
      </c>
      <c r="L129" s="11">
        <v>0</v>
      </c>
      <c r="M129" s="168" t="e">
        <f>L129/K129</f>
        <v>#DIV/0!</v>
      </c>
      <c r="N129" s="98" t="s">
        <v>336</v>
      </c>
    </row>
    <row r="130" spans="1:14" ht="25.35" customHeight="1" x14ac:dyDescent="0.25">
      <c r="A130" s="881" t="s">
        <v>131</v>
      </c>
      <c r="B130" s="85" t="s">
        <v>312</v>
      </c>
      <c r="C130" s="98" t="s">
        <v>313</v>
      </c>
      <c r="D130" s="98" t="s">
        <v>314</v>
      </c>
      <c r="E130" s="11" t="s">
        <v>315</v>
      </c>
      <c r="F130" s="86">
        <v>0.66400000000000003</v>
      </c>
      <c r="G130" s="890" t="s">
        <v>259</v>
      </c>
      <c r="H130" s="11">
        <f>+[5]INVERSIÓN!BF10</f>
        <v>7017</v>
      </c>
      <c r="I130" s="11">
        <f>+[5]INVERSIÓN!CI10</f>
        <v>364</v>
      </c>
      <c r="J130" s="102">
        <f>+I130/H130</f>
        <v>5.1874020236568334E-2</v>
      </c>
      <c r="K130" s="94">
        <f>+[5]INVERSIÓN!CH13</f>
        <v>22</v>
      </c>
      <c r="L130" s="11">
        <f>+[5]INVERSIÓN!CI13</f>
        <v>8</v>
      </c>
      <c r="M130" s="11">
        <f>+L130/K130</f>
        <v>0.36363636363636365</v>
      </c>
      <c r="N130" s="169" t="str">
        <f>+[5]INVERSIÓN!EW10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31" spans="1:14" ht="25.35" customHeight="1" x14ac:dyDescent="0.25">
      <c r="A131" s="881"/>
      <c r="B131" s="85" t="s">
        <v>316</v>
      </c>
      <c r="C131" s="98" t="s">
        <v>317</v>
      </c>
      <c r="D131" s="98" t="s">
        <v>318</v>
      </c>
      <c r="E131" s="11" t="s">
        <v>319</v>
      </c>
      <c r="F131" s="86">
        <v>0.13700000000000001</v>
      </c>
      <c r="G131" s="890"/>
      <c r="H131" s="94">
        <f>+[5]INVERSIÓN!CH17</f>
        <v>31.000000000000004</v>
      </c>
      <c r="I131" s="87">
        <f>+[5]INVERSIÓN!CI17</f>
        <v>2.42</v>
      </c>
      <c r="J131" s="102">
        <f>I131/H131</f>
        <v>7.8064516129032244E-2</v>
      </c>
      <c r="K131" s="11">
        <v>0</v>
      </c>
      <c r="L131" s="11">
        <v>0</v>
      </c>
      <c r="M131" s="11" t="e">
        <f>L131/K131</f>
        <v>#DIV/0!</v>
      </c>
      <c r="N131" s="169" t="str">
        <f>+[5]INVERSIÓN!EW17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32" spans="1:14" ht="25.35" customHeight="1" x14ac:dyDescent="0.25">
      <c r="A132" s="881"/>
      <c r="B132" s="85" t="s">
        <v>320</v>
      </c>
      <c r="C132" s="98" t="s">
        <v>321</v>
      </c>
      <c r="D132" s="98" t="s">
        <v>322</v>
      </c>
      <c r="E132" s="11" t="s">
        <v>315</v>
      </c>
      <c r="F132" s="86">
        <v>0.19800000000000001</v>
      </c>
      <c r="G132" s="890"/>
      <c r="H132" s="94">
        <f>+[5]INVERSIÓN!CH24</f>
        <v>31.000000000000004</v>
      </c>
      <c r="I132" s="11">
        <f>+[5]INVERSIÓN!CI24</f>
        <v>4.3</v>
      </c>
      <c r="J132" s="102">
        <f>I132/H132</f>
        <v>0.1387096774193548</v>
      </c>
      <c r="K132" s="11">
        <v>0</v>
      </c>
      <c r="L132" s="11">
        <v>0</v>
      </c>
      <c r="M132" s="11" t="e">
        <f>L132/K132</f>
        <v>#DIV/0!</v>
      </c>
      <c r="N132" s="169" t="str">
        <f>+[5]INVERSIÓN!EW24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33" spans="1:14" ht="25.35" customHeight="1" x14ac:dyDescent="0.25">
      <c r="A133" s="881" t="s">
        <v>132</v>
      </c>
      <c r="B133" s="85" t="s">
        <v>312</v>
      </c>
      <c r="C133" s="98" t="s">
        <v>313</v>
      </c>
      <c r="D133" s="98" t="s">
        <v>314</v>
      </c>
      <c r="E133" s="11" t="s">
        <v>315</v>
      </c>
      <c r="F133" s="86">
        <v>0.66400000000000003</v>
      </c>
      <c r="G133" s="890" t="s">
        <v>259</v>
      </c>
      <c r="H133" s="11">
        <f>+[6]INVERSIÓN!BF10</f>
        <v>7017</v>
      </c>
      <c r="I133" s="11">
        <f>+[6]INVERSIÓN!CI10</f>
        <v>1062</v>
      </c>
      <c r="J133" s="102">
        <f>+I133/H133</f>
        <v>0.1513467293715263</v>
      </c>
      <c r="K133" s="94">
        <f>+[6]INVERSIÓN!CH13</f>
        <v>22</v>
      </c>
      <c r="L133" s="11">
        <f>+[6]INVERSIÓN!CI13</f>
        <v>8</v>
      </c>
      <c r="M133" s="102">
        <f>+L133/K133</f>
        <v>0.36363636363636365</v>
      </c>
      <c r="N133" s="169" t="str">
        <f>+[6]INVERSIÓN!EW10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34" spans="1:14" ht="25.35" customHeight="1" x14ac:dyDescent="0.25">
      <c r="A134" s="881"/>
      <c r="B134" s="85" t="s">
        <v>316</v>
      </c>
      <c r="C134" s="98" t="s">
        <v>317</v>
      </c>
      <c r="D134" s="98" t="s">
        <v>318</v>
      </c>
      <c r="E134" s="11" t="s">
        <v>319</v>
      </c>
      <c r="F134" s="86">
        <v>0.13700000000000001</v>
      </c>
      <c r="G134" s="890"/>
      <c r="H134" s="94">
        <f>+[6]INVERSIÓN!CH17</f>
        <v>31.000000000000004</v>
      </c>
      <c r="I134" s="87">
        <f>+[6]INVERSIÓN!CI17</f>
        <v>4.28</v>
      </c>
      <c r="J134" s="102">
        <f>I134/H134</f>
        <v>0.13806451612903226</v>
      </c>
      <c r="K134" s="11">
        <v>0</v>
      </c>
      <c r="L134" s="11">
        <v>0</v>
      </c>
      <c r="M134" s="102" t="e">
        <f>L134/K134</f>
        <v>#DIV/0!</v>
      </c>
      <c r="N134" s="169" t="str">
        <f>+[6]INVERSIÓN!EW17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35" spans="1:14" ht="25.35" customHeight="1" x14ac:dyDescent="0.25">
      <c r="A135" s="881"/>
      <c r="B135" s="85" t="s">
        <v>320</v>
      </c>
      <c r="C135" s="98" t="s">
        <v>321</v>
      </c>
      <c r="D135" s="98" t="s">
        <v>322</v>
      </c>
      <c r="E135" s="11" t="s">
        <v>315</v>
      </c>
      <c r="F135" s="86">
        <v>0.19800000000000001</v>
      </c>
      <c r="G135" s="890"/>
      <c r="H135" s="94">
        <f>+[6]INVERSIÓN!CH24</f>
        <v>31.000000000000004</v>
      </c>
      <c r="I135" s="11">
        <f>+[6]INVERSIÓN!CI24</f>
        <v>6.3</v>
      </c>
      <c r="J135" s="102">
        <f>I135/H135</f>
        <v>0.20322580645161287</v>
      </c>
      <c r="K135" s="11">
        <v>0</v>
      </c>
      <c r="L135" s="11">
        <v>0</v>
      </c>
      <c r="M135" s="102" t="e">
        <f>L135/K135</f>
        <v>#DIV/0!</v>
      </c>
      <c r="N135" s="169" t="str">
        <f>+[6]INVERSIÓN!EW24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36" spans="1:14" ht="25.35" customHeight="1" x14ac:dyDescent="0.25">
      <c r="A136" s="881" t="s">
        <v>133</v>
      </c>
      <c r="B136" s="85" t="s">
        <v>312</v>
      </c>
      <c r="C136" s="98" t="s">
        <v>313</v>
      </c>
      <c r="D136" s="98" t="s">
        <v>314</v>
      </c>
      <c r="E136" s="11" t="s">
        <v>315</v>
      </c>
      <c r="F136" s="76">
        <v>0.66400000000000003</v>
      </c>
      <c r="G136" s="890" t="s">
        <v>259</v>
      </c>
      <c r="H136" s="11">
        <v>7017</v>
      </c>
      <c r="I136" s="11">
        <v>1430</v>
      </c>
      <c r="J136" s="102">
        <v>0.20379079378651846</v>
      </c>
      <c r="K136" s="94">
        <v>22</v>
      </c>
      <c r="L136" s="11">
        <v>8</v>
      </c>
      <c r="M136" s="102">
        <v>0.36363636363636365</v>
      </c>
      <c r="N136" s="169" t="s">
        <v>337</v>
      </c>
    </row>
    <row r="137" spans="1:14" ht="25.35" customHeight="1" x14ac:dyDescent="0.25">
      <c r="A137" s="881"/>
      <c r="B137" s="85" t="s">
        <v>316</v>
      </c>
      <c r="C137" s="98" t="s">
        <v>317</v>
      </c>
      <c r="D137" s="98" t="s">
        <v>318</v>
      </c>
      <c r="E137" s="11" t="s">
        <v>319</v>
      </c>
      <c r="F137" s="76">
        <v>0.13700000000000001</v>
      </c>
      <c r="G137" s="890"/>
      <c r="H137" s="94">
        <v>31.000000000000004</v>
      </c>
      <c r="I137" s="87">
        <v>6.1400000000000006</v>
      </c>
      <c r="J137" s="102">
        <v>0.19806451612903225</v>
      </c>
      <c r="K137" s="11">
        <v>0</v>
      </c>
      <c r="L137" s="11">
        <v>0</v>
      </c>
      <c r="M137" s="102" t="e">
        <v>#DIV/0!</v>
      </c>
      <c r="N137" s="169" t="s">
        <v>505</v>
      </c>
    </row>
    <row r="138" spans="1:14" ht="25.35" customHeight="1" x14ac:dyDescent="0.25">
      <c r="A138" s="881"/>
      <c r="B138" s="85" t="s">
        <v>320</v>
      </c>
      <c r="C138" s="98" t="s">
        <v>321</v>
      </c>
      <c r="D138" s="98" t="s">
        <v>322</v>
      </c>
      <c r="E138" s="11" t="s">
        <v>315</v>
      </c>
      <c r="F138" s="76">
        <v>0.19800000000000001</v>
      </c>
      <c r="G138" s="890"/>
      <c r="H138" s="94">
        <v>31.000000000000004</v>
      </c>
      <c r="I138" s="11">
        <v>9.1</v>
      </c>
      <c r="J138" s="102">
        <v>0.29354838709677417</v>
      </c>
      <c r="K138" s="11">
        <v>0</v>
      </c>
      <c r="L138" s="11">
        <v>0</v>
      </c>
      <c r="M138" s="102" t="e">
        <v>#DIV/0!</v>
      </c>
      <c r="N138" s="169" t="s">
        <v>506</v>
      </c>
    </row>
    <row r="139" spans="1:14" ht="25.35" customHeight="1" x14ac:dyDescent="0.25">
      <c r="A139" s="881" t="s">
        <v>134</v>
      </c>
      <c r="B139" s="85" t="s">
        <v>312</v>
      </c>
      <c r="C139" s="98" t="s">
        <v>313</v>
      </c>
      <c r="D139" s="98" t="s">
        <v>314</v>
      </c>
      <c r="E139" s="11" t="s">
        <v>315</v>
      </c>
      <c r="F139" s="76">
        <v>0.66400000000000003</v>
      </c>
      <c r="G139" s="890" t="s">
        <v>259</v>
      </c>
      <c r="H139" s="11">
        <v>7017</v>
      </c>
      <c r="I139" s="11">
        <v>1901</v>
      </c>
      <c r="J139" s="102">
        <v>0.27091349579592416</v>
      </c>
      <c r="K139" s="94">
        <v>22</v>
      </c>
      <c r="L139" s="11">
        <v>10</v>
      </c>
      <c r="M139" s="102">
        <v>0.45454545454545453</v>
      </c>
      <c r="N139" s="138" t="s">
        <v>379</v>
      </c>
    </row>
    <row r="140" spans="1:14" ht="25.35" customHeight="1" x14ac:dyDescent="0.25">
      <c r="A140" s="881"/>
      <c r="B140" s="85" t="s">
        <v>316</v>
      </c>
      <c r="C140" s="98" t="s">
        <v>317</v>
      </c>
      <c r="D140" s="98" t="s">
        <v>318</v>
      </c>
      <c r="E140" s="11" t="s">
        <v>319</v>
      </c>
      <c r="F140" s="76">
        <v>0.13700000000000001</v>
      </c>
      <c r="G140" s="890"/>
      <c r="H140" s="94">
        <v>31.000000000000004</v>
      </c>
      <c r="I140" s="87">
        <v>8</v>
      </c>
      <c r="J140" s="102">
        <v>0.25806451612903225</v>
      </c>
      <c r="K140" s="11">
        <v>0</v>
      </c>
      <c r="L140" s="11">
        <v>0</v>
      </c>
      <c r="M140" s="102" t="e">
        <v>#DIV/0!</v>
      </c>
      <c r="N140" s="138" t="s">
        <v>507</v>
      </c>
    </row>
    <row r="141" spans="1:14" ht="25.35" customHeight="1" x14ac:dyDescent="0.25">
      <c r="A141" s="881"/>
      <c r="B141" s="85" t="s">
        <v>320</v>
      </c>
      <c r="C141" s="98" t="s">
        <v>321</v>
      </c>
      <c r="D141" s="98" t="s">
        <v>322</v>
      </c>
      <c r="E141" s="11" t="s">
        <v>315</v>
      </c>
      <c r="F141" s="76">
        <v>0.19800000000000001</v>
      </c>
      <c r="G141" s="890"/>
      <c r="H141" s="94">
        <v>31.000000000000004</v>
      </c>
      <c r="I141" s="11">
        <v>12.7</v>
      </c>
      <c r="J141" s="102">
        <v>0.40967741935483865</v>
      </c>
      <c r="K141" s="11">
        <v>0</v>
      </c>
      <c r="L141" s="11">
        <v>0</v>
      </c>
      <c r="M141" s="102" t="e">
        <v>#DIV/0!</v>
      </c>
      <c r="N141" s="138" t="s">
        <v>508</v>
      </c>
    </row>
    <row r="142" spans="1:14" ht="25.35" customHeight="1" x14ac:dyDescent="0.25">
      <c r="A142" s="881" t="s">
        <v>135</v>
      </c>
      <c r="B142" s="85" t="s">
        <v>312</v>
      </c>
      <c r="C142" s="98" t="s">
        <v>313</v>
      </c>
      <c r="D142" s="98" t="s">
        <v>314</v>
      </c>
      <c r="E142" s="11" t="s">
        <v>315</v>
      </c>
      <c r="F142" s="76">
        <v>0.66400000000000003</v>
      </c>
      <c r="G142" s="890" t="s">
        <v>259</v>
      </c>
      <c r="H142" s="11">
        <f>+[7]INVERSIÓN!BF10</f>
        <v>7017</v>
      </c>
      <c r="I142" s="11">
        <f>+[7]INVERSIÓN!CI10</f>
        <v>2304</v>
      </c>
      <c r="J142" s="102">
        <f>+I142/H142</f>
        <v>0.32834544677212485</v>
      </c>
      <c r="K142" s="94">
        <f>+[7]INVERSIÓN!CH13</f>
        <v>22</v>
      </c>
      <c r="L142" s="11">
        <f>+[7]INVERSIÓN!CI13</f>
        <v>10</v>
      </c>
      <c r="M142" s="102">
        <f>+L142/K142</f>
        <v>0.45454545454545453</v>
      </c>
      <c r="N142" s="169" t="str">
        <f>+[7]INVERSIÓN!EW10</f>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
    </row>
    <row r="143" spans="1:14" ht="25.35" customHeight="1" x14ac:dyDescent="0.25">
      <c r="A143" s="881"/>
      <c r="B143" s="85" t="s">
        <v>316</v>
      </c>
      <c r="C143" s="98" t="s">
        <v>317</v>
      </c>
      <c r="D143" s="98" t="s">
        <v>318</v>
      </c>
      <c r="E143" s="11" t="s">
        <v>319</v>
      </c>
      <c r="F143" s="76">
        <v>0.13700000000000001</v>
      </c>
      <c r="G143" s="890"/>
      <c r="H143" s="94">
        <f>+[7]INVERSIÓN!CH17</f>
        <v>31.000000000000004</v>
      </c>
      <c r="I143" s="87">
        <f>+[7]INVERSIÓN!CI17</f>
        <v>9.86</v>
      </c>
      <c r="J143" s="102">
        <f>I143/H143</f>
        <v>0.31806451612903219</v>
      </c>
      <c r="K143" s="11">
        <v>0</v>
      </c>
      <c r="L143" s="11">
        <v>0</v>
      </c>
      <c r="M143" s="102" t="e">
        <f>L143/K143</f>
        <v>#DIV/0!</v>
      </c>
      <c r="N143" s="169" t="str">
        <f>+[7]INVERSIÓN!EW17</f>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44" spans="1:14" ht="25.35" customHeight="1" x14ac:dyDescent="0.25">
      <c r="A144" s="881"/>
      <c r="B144" s="85" t="s">
        <v>320</v>
      </c>
      <c r="C144" s="98" t="s">
        <v>321</v>
      </c>
      <c r="D144" s="98" t="s">
        <v>322</v>
      </c>
      <c r="E144" s="11" t="s">
        <v>315</v>
      </c>
      <c r="F144" s="76">
        <v>0.19800000000000001</v>
      </c>
      <c r="G144" s="890"/>
      <c r="H144" s="94">
        <f>+[7]INVERSIÓN!CH24</f>
        <v>31.000000000000004</v>
      </c>
      <c r="I144" s="11">
        <f>+[7]INVERSIÓN!CI24</f>
        <v>15.5</v>
      </c>
      <c r="J144" s="102">
        <f>I144/H144</f>
        <v>0.49999999999999994</v>
      </c>
      <c r="K144" s="11">
        <v>0</v>
      </c>
      <c r="L144" s="11">
        <v>0</v>
      </c>
      <c r="M144" s="102" t="e">
        <f>L144/K144</f>
        <v>#DIV/0!</v>
      </c>
      <c r="N144" s="169" t="str">
        <f>+[7]INVERSIÓN!EW24</f>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
    </row>
    <row r="145" spans="1:14" ht="25.35" customHeight="1" x14ac:dyDescent="0.25">
      <c r="A145" s="881" t="s">
        <v>124</v>
      </c>
      <c r="B145" s="85" t="s">
        <v>312</v>
      </c>
      <c r="C145" s="98" t="s">
        <v>313</v>
      </c>
      <c r="D145" s="98" t="s">
        <v>314</v>
      </c>
      <c r="E145" s="11" t="s">
        <v>315</v>
      </c>
      <c r="F145" s="76">
        <v>0.66400000000000003</v>
      </c>
      <c r="G145" s="890" t="s">
        <v>259</v>
      </c>
      <c r="H145" s="11">
        <v>7017</v>
      </c>
      <c r="I145" s="11">
        <v>2847</v>
      </c>
      <c r="J145" s="102">
        <v>0.40572894399315945</v>
      </c>
      <c r="K145" s="94">
        <v>22</v>
      </c>
      <c r="L145" s="11">
        <v>22</v>
      </c>
      <c r="M145" s="102">
        <v>1</v>
      </c>
      <c r="N145" s="169" t="s">
        <v>380</v>
      </c>
    </row>
    <row r="146" spans="1:14" ht="25.35" customHeight="1" x14ac:dyDescent="0.25">
      <c r="A146" s="881"/>
      <c r="B146" s="85" t="s">
        <v>316</v>
      </c>
      <c r="C146" s="98" t="s">
        <v>317</v>
      </c>
      <c r="D146" s="98" t="s">
        <v>318</v>
      </c>
      <c r="E146" s="11" t="s">
        <v>319</v>
      </c>
      <c r="F146" s="76">
        <v>0.13700000000000001</v>
      </c>
      <c r="G146" s="890"/>
      <c r="H146" s="94">
        <v>31.000000000000004</v>
      </c>
      <c r="I146" s="87">
        <v>11.719999999999999</v>
      </c>
      <c r="J146" s="102">
        <v>0.37806451612903219</v>
      </c>
      <c r="K146" s="11">
        <v>0</v>
      </c>
      <c r="L146" s="11">
        <v>0</v>
      </c>
      <c r="M146" s="102" t="e">
        <v>#DIV/0!</v>
      </c>
      <c r="N146" s="169" t="s">
        <v>381</v>
      </c>
    </row>
    <row r="147" spans="1:14" ht="25.35" customHeight="1" x14ac:dyDescent="0.25">
      <c r="A147" s="881"/>
      <c r="B147" s="85" t="s">
        <v>320</v>
      </c>
      <c r="C147" s="98" t="s">
        <v>321</v>
      </c>
      <c r="D147" s="98" t="s">
        <v>322</v>
      </c>
      <c r="E147" s="11" t="s">
        <v>315</v>
      </c>
      <c r="F147" s="76">
        <v>0.19800000000000001</v>
      </c>
      <c r="G147" s="890"/>
      <c r="H147" s="94">
        <v>31.000000000000004</v>
      </c>
      <c r="I147" s="11">
        <v>18.3</v>
      </c>
      <c r="J147" s="102">
        <v>0.5903225806451613</v>
      </c>
      <c r="K147" s="11">
        <v>0</v>
      </c>
      <c r="L147" s="11">
        <v>0</v>
      </c>
      <c r="M147" s="102" t="e">
        <v>#DIV/0!</v>
      </c>
      <c r="N147" s="169" t="s">
        <v>382</v>
      </c>
    </row>
    <row r="148" spans="1:14" ht="94.35" customHeight="1" x14ac:dyDescent="0.25">
      <c r="A148" s="881" t="s">
        <v>125</v>
      </c>
      <c r="B148" s="85" t="s">
        <v>312</v>
      </c>
      <c r="C148" s="98" t="s">
        <v>313</v>
      </c>
      <c r="D148" s="98" t="s">
        <v>314</v>
      </c>
      <c r="E148" s="11" t="s">
        <v>315</v>
      </c>
      <c r="F148" s="76">
        <v>0.66400000000000003</v>
      </c>
      <c r="G148" s="890" t="s">
        <v>259</v>
      </c>
      <c r="H148" s="11">
        <v>7017</v>
      </c>
      <c r="I148" s="94">
        <v>2894</v>
      </c>
      <c r="J148" s="102">
        <v>0.41242696308963944</v>
      </c>
      <c r="K148" s="94">
        <v>22</v>
      </c>
      <c r="L148" s="11">
        <v>22</v>
      </c>
      <c r="M148" s="168">
        <v>1</v>
      </c>
      <c r="N148" s="235" t="s">
        <v>419</v>
      </c>
    </row>
    <row r="149" spans="1:14" ht="94.35" customHeight="1" x14ac:dyDescent="0.25">
      <c r="A149" s="881"/>
      <c r="B149" s="85" t="s">
        <v>316</v>
      </c>
      <c r="C149" s="98" t="s">
        <v>317</v>
      </c>
      <c r="D149" s="98" t="s">
        <v>318</v>
      </c>
      <c r="E149" s="11" t="s">
        <v>319</v>
      </c>
      <c r="F149" s="76">
        <v>0.13700000000000001</v>
      </c>
      <c r="G149" s="890"/>
      <c r="H149" s="94">
        <v>21</v>
      </c>
      <c r="I149" s="87">
        <v>13.58</v>
      </c>
      <c r="J149" s="102">
        <v>0.64666666666666672</v>
      </c>
      <c r="K149" s="11">
        <v>0</v>
      </c>
      <c r="L149" s="11">
        <v>0</v>
      </c>
      <c r="M149" s="168" t="e">
        <v>#DIV/0!</v>
      </c>
      <c r="N149" s="235" t="s">
        <v>509</v>
      </c>
    </row>
    <row r="150" spans="1:14" ht="94.35" customHeight="1" x14ac:dyDescent="0.25">
      <c r="A150" s="881"/>
      <c r="B150" s="85" t="s">
        <v>320</v>
      </c>
      <c r="C150" s="98" t="s">
        <v>321</v>
      </c>
      <c r="D150" s="98" t="s">
        <v>322</v>
      </c>
      <c r="E150" s="11" t="s">
        <v>315</v>
      </c>
      <c r="F150" s="76">
        <v>0.19800000000000001</v>
      </c>
      <c r="G150" s="890"/>
      <c r="H150" s="94">
        <v>31.000000000000004</v>
      </c>
      <c r="I150" s="11">
        <v>21.1</v>
      </c>
      <c r="J150" s="102">
        <v>0.6806451612903226</v>
      </c>
      <c r="K150" s="11">
        <v>0</v>
      </c>
      <c r="L150" s="11">
        <v>0</v>
      </c>
      <c r="M150" s="168" t="e">
        <v>#DIV/0!</v>
      </c>
      <c r="N150" s="235" t="s">
        <v>420</v>
      </c>
    </row>
    <row r="151" spans="1:14" ht="25.35" customHeight="1" x14ac:dyDescent="0.25">
      <c r="A151" s="881" t="s">
        <v>126</v>
      </c>
      <c r="B151" s="85" t="s">
        <v>312</v>
      </c>
      <c r="C151" s="98" t="s">
        <v>313</v>
      </c>
      <c r="D151" s="98" t="s">
        <v>314</v>
      </c>
      <c r="E151" s="11" t="s">
        <v>315</v>
      </c>
      <c r="F151" s="76">
        <v>0.66400000000000003</v>
      </c>
      <c r="G151" s="890" t="s">
        <v>259</v>
      </c>
      <c r="H151" s="11">
        <v>7017</v>
      </c>
      <c r="I151" s="87">
        <v>2929</v>
      </c>
      <c r="J151" s="102">
        <v>0.41741484965084796</v>
      </c>
      <c r="K151" s="11">
        <v>22</v>
      </c>
      <c r="L151" s="11">
        <v>22</v>
      </c>
      <c r="M151" s="11">
        <v>1</v>
      </c>
      <c r="N151" s="163" t="s">
        <v>421</v>
      </c>
    </row>
    <row r="152" spans="1:14" ht="25.35" customHeight="1" x14ac:dyDescent="0.25">
      <c r="A152" s="881"/>
      <c r="B152" s="85" t="s">
        <v>316</v>
      </c>
      <c r="C152" s="98" t="s">
        <v>317</v>
      </c>
      <c r="D152" s="98" t="s">
        <v>318</v>
      </c>
      <c r="E152" s="11" t="s">
        <v>319</v>
      </c>
      <c r="F152" s="76">
        <v>0.13700000000000001</v>
      </c>
      <c r="G152" s="890"/>
      <c r="H152" s="11">
        <v>21</v>
      </c>
      <c r="I152" s="87">
        <v>15.25</v>
      </c>
      <c r="J152" s="102">
        <v>0.72619047619047616</v>
      </c>
      <c r="K152" s="11">
        <v>0</v>
      </c>
      <c r="L152" s="11">
        <v>0</v>
      </c>
      <c r="M152" s="11" t="e">
        <v>#DIV/0!</v>
      </c>
      <c r="N152" s="163" t="s">
        <v>422</v>
      </c>
    </row>
    <row r="153" spans="1:14" ht="25.35" customHeight="1" x14ac:dyDescent="0.25">
      <c r="A153" s="881"/>
      <c r="B153" s="85" t="s">
        <v>320</v>
      </c>
      <c r="C153" s="98" t="s">
        <v>321</v>
      </c>
      <c r="D153" s="98" t="s">
        <v>322</v>
      </c>
      <c r="E153" s="11" t="s">
        <v>315</v>
      </c>
      <c r="F153" s="76">
        <v>0.19800000000000001</v>
      </c>
      <c r="G153" s="890"/>
      <c r="H153" s="11">
        <v>31.000000000000004</v>
      </c>
      <c r="I153" s="87">
        <v>23.9</v>
      </c>
      <c r="J153" s="102">
        <v>0.77096774193548379</v>
      </c>
      <c r="K153" s="11">
        <v>0</v>
      </c>
      <c r="L153" s="11">
        <v>0</v>
      </c>
      <c r="M153" s="11" t="e">
        <v>#DIV/0!</v>
      </c>
      <c r="N153" s="164" t="s">
        <v>423</v>
      </c>
    </row>
    <row r="154" spans="1:14" ht="25.35" customHeight="1" x14ac:dyDescent="0.25">
      <c r="A154" s="881" t="s">
        <v>127</v>
      </c>
      <c r="B154" s="85" t="s">
        <v>312</v>
      </c>
      <c r="C154" s="98" t="s">
        <v>313</v>
      </c>
      <c r="D154" s="98" t="s">
        <v>314</v>
      </c>
      <c r="E154" s="11" t="s">
        <v>315</v>
      </c>
      <c r="F154" s="76">
        <v>0.66400000000000003</v>
      </c>
      <c r="G154" s="890" t="s">
        <v>259</v>
      </c>
      <c r="H154" s="11">
        <v>7017</v>
      </c>
      <c r="I154" s="87">
        <v>3363</v>
      </c>
      <c r="J154" s="102">
        <v>0.47926464300983324</v>
      </c>
      <c r="K154" s="11">
        <v>22</v>
      </c>
      <c r="L154" s="11">
        <v>22</v>
      </c>
      <c r="M154" s="11">
        <v>1</v>
      </c>
      <c r="N154" s="163" t="s">
        <v>424</v>
      </c>
    </row>
    <row r="155" spans="1:14" ht="25.35" customHeight="1" x14ac:dyDescent="0.25">
      <c r="A155" s="881"/>
      <c r="B155" s="85" t="s">
        <v>316</v>
      </c>
      <c r="C155" s="98" t="s">
        <v>317</v>
      </c>
      <c r="D155" s="98" t="s">
        <v>318</v>
      </c>
      <c r="E155" s="11" t="s">
        <v>319</v>
      </c>
      <c r="F155" s="76">
        <v>0.13700000000000001</v>
      </c>
      <c r="G155" s="890"/>
      <c r="H155" s="11">
        <v>21</v>
      </c>
      <c r="I155" s="87">
        <v>16</v>
      </c>
      <c r="J155" s="102">
        <v>0.76190476190476186</v>
      </c>
      <c r="K155" s="11">
        <v>0</v>
      </c>
      <c r="L155" s="11">
        <v>0</v>
      </c>
      <c r="M155" s="11" t="e">
        <v>#DIV/0!</v>
      </c>
      <c r="N155" s="163" t="s">
        <v>425</v>
      </c>
    </row>
    <row r="156" spans="1:14" ht="25.35" customHeight="1" x14ac:dyDescent="0.25">
      <c r="A156" s="881"/>
      <c r="B156" s="85" t="s">
        <v>320</v>
      </c>
      <c r="C156" s="98" t="s">
        <v>321</v>
      </c>
      <c r="D156" s="98" t="s">
        <v>322</v>
      </c>
      <c r="E156" s="11" t="s">
        <v>315</v>
      </c>
      <c r="F156" s="76">
        <v>0.19800000000000001</v>
      </c>
      <c r="G156" s="890"/>
      <c r="H156" s="11">
        <v>31.000000000000004</v>
      </c>
      <c r="I156" s="87">
        <v>26.66</v>
      </c>
      <c r="J156" s="102">
        <v>0.85999999999999988</v>
      </c>
      <c r="K156" s="11">
        <v>0</v>
      </c>
      <c r="L156" s="11">
        <v>0</v>
      </c>
      <c r="M156" s="11" t="e">
        <v>#DIV/0!</v>
      </c>
      <c r="N156" s="164" t="s">
        <v>426</v>
      </c>
    </row>
    <row r="157" spans="1:14" ht="25.35" customHeight="1" x14ac:dyDescent="0.25">
      <c r="A157" s="881" t="s">
        <v>128</v>
      </c>
      <c r="B157" s="85" t="s">
        <v>312</v>
      </c>
      <c r="C157" s="98" t="s">
        <v>313</v>
      </c>
      <c r="D157" s="98" t="s">
        <v>314</v>
      </c>
      <c r="E157" s="11" t="s">
        <v>315</v>
      </c>
      <c r="F157" s="76">
        <v>0.66400000000000003</v>
      </c>
      <c r="G157" s="890" t="s">
        <v>259</v>
      </c>
      <c r="H157" s="11">
        <v>7017</v>
      </c>
      <c r="I157" s="87">
        <v>5705</v>
      </c>
      <c r="J157" s="102">
        <v>0.81302550947698449</v>
      </c>
      <c r="K157" s="11">
        <v>22</v>
      </c>
      <c r="L157" s="11">
        <v>22</v>
      </c>
      <c r="M157" s="11">
        <v>1</v>
      </c>
      <c r="N157" s="164" t="s">
        <v>427</v>
      </c>
    </row>
    <row r="158" spans="1:14" ht="25.35" customHeight="1" x14ac:dyDescent="0.25">
      <c r="A158" s="881"/>
      <c r="B158" s="85" t="s">
        <v>316</v>
      </c>
      <c r="C158" s="98" t="s">
        <v>317</v>
      </c>
      <c r="D158" s="98" t="s">
        <v>318</v>
      </c>
      <c r="E158" s="11" t="s">
        <v>319</v>
      </c>
      <c r="F158" s="76">
        <v>0.13700000000000001</v>
      </c>
      <c r="G158" s="890"/>
      <c r="H158" s="11">
        <v>21</v>
      </c>
      <c r="I158" s="87">
        <v>20.34</v>
      </c>
      <c r="J158" s="102">
        <v>0.96857142857142853</v>
      </c>
      <c r="K158" s="11">
        <v>0</v>
      </c>
      <c r="L158" s="11">
        <v>0</v>
      </c>
      <c r="M158" s="11" t="e">
        <v>#DIV/0!</v>
      </c>
      <c r="N158" s="164" t="s">
        <v>428</v>
      </c>
    </row>
    <row r="159" spans="1:14" ht="25.35" customHeight="1" x14ac:dyDescent="0.25">
      <c r="A159" s="881"/>
      <c r="B159" s="85" t="s">
        <v>320</v>
      </c>
      <c r="C159" s="98" t="s">
        <v>321</v>
      </c>
      <c r="D159" s="98" t="s">
        <v>322</v>
      </c>
      <c r="E159" s="11" t="s">
        <v>315</v>
      </c>
      <c r="F159" s="76">
        <v>0.19800000000000001</v>
      </c>
      <c r="G159" s="890"/>
      <c r="H159" s="11">
        <v>31.000000000000004</v>
      </c>
      <c r="I159" s="87">
        <v>29.5</v>
      </c>
      <c r="J159" s="102">
        <v>0.95161290322580638</v>
      </c>
      <c r="K159" s="11">
        <v>0</v>
      </c>
      <c r="L159" s="11">
        <v>0</v>
      </c>
      <c r="M159" s="11" t="e">
        <v>#DIV/0!</v>
      </c>
      <c r="N159" s="164" t="s">
        <v>429</v>
      </c>
    </row>
    <row r="160" spans="1:14" ht="25.35" customHeight="1" x14ac:dyDescent="0.25">
      <c r="A160" s="881" t="s">
        <v>129</v>
      </c>
      <c r="B160" s="85" t="s">
        <v>312</v>
      </c>
      <c r="C160" s="98" t="s">
        <v>313</v>
      </c>
      <c r="D160" s="98" t="s">
        <v>314</v>
      </c>
      <c r="E160" s="11" t="s">
        <v>315</v>
      </c>
      <c r="F160" s="76">
        <v>0.66400000000000003</v>
      </c>
      <c r="G160" s="890" t="s">
        <v>259</v>
      </c>
      <c r="H160" s="11">
        <v>7017</v>
      </c>
      <c r="I160" s="87">
        <v>6446</v>
      </c>
      <c r="J160" s="102">
        <v>0.91862619352999852</v>
      </c>
      <c r="K160" s="11">
        <v>22</v>
      </c>
      <c r="L160" s="11">
        <v>22</v>
      </c>
      <c r="M160" s="11">
        <v>1</v>
      </c>
      <c r="N160" s="163" t="s">
        <v>430</v>
      </c>
    </row>
    <row r="161" spans="1:14" ht="25.35" customHeight="1" x14ac:dyDescent="0.25">
      <c r="A161" s="881"/>
      <c r="B161" s="85" t="s">
        <v>316</v>
      </c>
      <c r="C161" s="98" t="s">
        <v>317</v>
      </c>
      <c r="D161" s="98" t="s">
        <v>318</v>
      </c>
      <c r="E161" s="11" t="s">
        <v>319</v>
      </c>
      <c r="F161" s="76">
        <v>0.13700000000000001</v>
      </c>
      <c r="G161" s="890"/>
      <c r="H161" s="11">
        <v>21</v>
      </c>
      <c r="I161" s="87">
        <v>21</v>
      </c>
      <c r="J161" s="102">
        <v>1</v>
      </c>
      <c r="K161" s="11">
        <v>0</v>
      </c>
      <c r="L161" s="11">
        <v>0</v>
      </c>
      <c r="M161" s="11" t="e">
        <v>#DIV/0!</v>
      </c>
      <c r="N161" s="163" t="s">
        <v>431</v>
      </c>
    </row>
    <row r="162" spans="1:14" ht="25.35" customHeight="1" x14ac:dyDescent="0.25">
      <c r="A162" s="881"/>
      <c r="B162" s="85" t="s">
        <v>320</v>
      </c>
      <c r="C162" s="98" t="s">
        <v>321</v>
      </c>
      <c r="D162" s="98" t="s">
        <v>322</v>
      </c>
      <c r="E162" s="11" t="s">
        <v>315</v>
      </c>
      <c r="F162" s="76">
        <v>0.19800000000000001</v>
      </c>
      <c r="G162" s="890"/>
      <c r="H162" s="11">
        <v>31.000000000000004</v>
      </c>
      <c r="I162" s="87">
        <v>31</v>
      </c>
      <c r="J162" s="102">
        <v>0.99999999999999989</v>
      </c>
      <c r="K162" s="11">
        <v>0</v>
      </c>
      <c r="L162" s="11">
        <v>0</v>
      </c>
      <c r="M162" s="11" t="e">
        <v>#DIV/0!</v>
      </c>
      <c r="N162" s="164" t="s">
        <v>432</v>
      </c>
    </row>
    <row r="164" spans="1:14" ht="15.75" thickBot="1" x14ac:dyDescent="0.3"/>
    <row r="165" spans="1:14" ht="20.25" x14ac:dyDescent="0.25">
      <c r="A165" s="883" t="s">
        <v>389</v>
      </c>
      <c r="B165" s="884"/>
      <c r="C165" s="884"/>
      <c r="D165" s="884"/>
      <c r="E165" s="884"/>
      <c r="F165" s="884"/>
      <c r="G165" s="884"/>
      <c r="H165" s="884"/>
      <c r="I165" s="884"/>
      <c r="J165" s="884"/>
      <c r="K165" s="884"/>
      <c r="L165" s="884"/>
      <c r="M165" s="884"/>
      <c r="N165" s="885"/>
    </row>
    <row r="166" spans="1:14" ht="25.5" x14ac:dyDescent="0.25">
      <c r="A166" s="246" t="s">
        <v>61</v>
      </c>
      <c r="B166" s="247" t="s">
        <v>137</v>
      </c>
      <c r="C166" s="247" t="s">
        <v>138</v>
      </c>
      <c r="D166" s="247" t="s">
        <v>139</v>
      </c>
      <c r="E166" s="27" t="s">
        <v>140</v>
      </c>
      <c r="F166" s="27" t="s">
        <v>141</v>
      </c>
      <c r="G166" s="27" t="s">
        <v>142</v>
      </c>
      <c r="H166" s="27" t="s">
        <v>390</v>
      </c>
      <c r="I166" s="27" t="s">
        <v>391</v>
      </c>
      <c r="J166" s="27" t="s">
        <v>392</v>
      </c>
      <c r="K166" s="27" t="s">
        <v>146</v>
      </c>
      <c r="L166" s="27" t="s">
        <v>147</v>
      </c>
      <c r="M166" s="27" t="s">
        <v>148</v>
      </c>
      <c r="N166" s="28" t="s">
        <v>149</v>
      </c>
    </row>
    <row r="167" spans="1:14" ht="35.1" customHeight="1" x14ac:dyDescent="0.25">
      <c r="A167" s="881" t="s">
        <v>130</v>
      </c>
      <c r="B167" s="85" t="s">
        <v>312</v>
      </c>
      <c r="C167" s="98" t="s">
        <v>313</v>
      </c>
      <c r="D167" s="98" t="s">
        <v>314</v>
      </c>
      <c r="E167" s="11" t="s">
        <v>315</v>
      </c>
      <c r="F167" s="86">
        <v>0.66400000000000003</v>
      </c>
      <c r="G167" s="890" t="s">
        <v>259</v>
      </c>
      <c r="H167" s="245">
        <v>7217</v>
      </c>
      <c r="I167" s="105">
        <v>0</v>
      </c>
      <c r="J167" s="102">
        <v>0</v>
      </c>
      <c r="K167" s="94">
        <v>571</v>
      </c>
      <c r="L167" s="105">
        <v>99</v>
      </c>
      <c r="M167" s="168">
        <v>0.1733800350262697</v>
      </c>
      <c r="N167" s="98" t="s">
        <v>440</v>
      </c>
    </row>
    <row r="168" spans="1:14" ht="35.1" customHeight="1" x14ac:dyDescent="0.25">
      <c r="A168" s="881"/>
      <c r="B168" s="85" t="s">
        <v>316</v>
      </c>
      <c r="C168" s="98" t="s">
        <v>317</v>
      </c>
      <c r="D168" s="98" t="s">
        <v>318</v>
      </c>
      <c r="E168" s="11" t="s">
        <v>319</v>
      </c>
      <c r="F168" s="86">
        <v>0.13700000000000001</v>
      </c>
      <c r="G168" s="890"/>
      <c r="H168" s="94">
        <v>36</v>
      </c>
      <c r="I168" s="94">
        <v>0</v>
      </c>
      <c r="J168" s="102">
        <v>0</v>
      </c>
      <c r="K168" s="105">
        <v>0</v>
      </c>
      <c r="L168" s="105">
        <v>0</v>
      </c>
      <c r="M168" s="168" t="e">
        <v>#DIV/0!</v>
      </c>
      <c r="N168" s="98" t="s">
        <v>437</v>
      </c>
    </row>
    <row r="169" spans="1:14" ht="35.1" customHeight="1" x14ac:dyDescent="0.25">
      <c r="A169" s="881"/>
      <c r="B169" s="85" t="s">
        <v>320</v>
      </c>
      <c r="C169" s="98" t="s">
        <v>321</v>
      </c>
      <c r="D169" s="98" t="s">
        <v>322</v>
      </c>
      <c r="E169" s="11" t="s">
        <v>315</v>
      </c>
      <c r="F169" s="86">
        <v>0.19800000000000001</v>
      </c>
      <c r="G169" s="890"/>
      <c r="H169" s="94">
        <v>27.000000000000011</v>
      </c>
      <c r="I169" s="105">
        <v>0</v>
      </c>
      <c r="J169" s="102">
        <v>0</v>
      </c>
      <c r="K169" s="105">
        <v>0</v>
      </c>
      <c r="L169" s="245">
        <v>0</v>
      </c>
      <c r="M169" s="168" t="e">
        <v>#DIV/0!</v>
      </c>
      <c r="N169" s="98" t="s">
        <v>441</v>
      </c>
    </row>
    <row r="170" spans="1:14" ht="35.1" customHeight="1" x14ac:dyDescent="0.25">
      <c r="A170" s="881" t="s">
        <v>131</v>
      </c>
      <c r="B170" s="85" t="s">
        <v>312</v>
      </c>
      <c r="C170" s="98" t="s">
        <v>313</v>
      </c>
      <c r="D170" s="98" t="s">
        <v>314</v>
      </c>
      <c r="E170" s="11" t="s">
        <v>315</v>
      </c>
      <c r="F170" s="86">
        <v>0.66400000000000003</v>
      </c>
      <c r="G170" s="890" t="s">
        <v>259</v>
      </c>
      <c r="H170" s="245">
        <v>7217</v>
      </c>
      <c r="I170" s="105">
        <v>47</v>
      </c>
      <c r="J170" s="102">
        <v>6.5124012747679091E-3</v>
      </c>
      <c r="K170" s="94">
        <v>571</v>
      </c>
      <c r="L170" s="105">
        <v>277</v>
      </c>
      <c r="M170" s="168">
        <v>0.48511383537653241</v>
      </c>
      <c r="N170" s="98" t="s">
        <v>447</v>
      </c>
    </row>
    <row r="171" spans="1:14" ht="35.1" customHeight="1" x14ac:dyDescent="0.25">
      <c r="A171" s="881"/>
      <c r="B171" s="85" t="s">
        <v>316</v>
      </c>
      <c r="C171" s="98" t="s">
        <v>317</v>
      </c>
      <c r="D171" s="98" t="s">
        <v>318</v>
      </c>
      <c r="E171" s="11" t="s">
        <v>319</v>
      </c>
      <c r="F171" s="86">
        <v>0.13700000000000001</v>
      </c>
      <c r="G171" s="890"/>
      <c r="H171" s="94">
        <v>36</v>
      </c>
      <c r="I171" s="94">
        <v>1.33</v>
      </c>
      <c r="J171" s="102">
        <v>3.6944444444444446E-2</v>
      </c>
      <c r="K171" s="105">
        <v>0</v>
      </c>
      <c r="L171" s="105">
        <v>0</v>
      </c>
      <c r="M171" s="168" t="e">
        <v>#DIV/0!</v>
      </c>
      <c r="N171" s="98" t="s">
        <v>448</v>
      </c>
    </row>
    <row r="172" spans="1:14" ht="35.1" customHeight="1" x14ac:dyDescent="0.25">
      <c r="A172" s="881"/>
      <c r="B172" s="85" t="s">
        <v>320</v>
      </c>
      <c r="C172" s="98" t="s">
        <v>321</v>
      </c>
      <c r="D172" s="98" t="s">
        <v>322</v>
      </c>
      <c r="E172" s="11" t="s">
        <v>315</v>
      </c>
      <c r="F172" s="86">
        <v>0.19800000000000001</v>
      </c>
      <c r="G172" s="890"/>
      <c r="H172" s="94">
        <v>27.000000000000011</v>
      </c>
      <c r="I172" s="105">
        <v>2.7</v>
      </c>
      <c r="J172" s="102">
        <v>9.9999999999999964E-2</v>
      </c>
      <c r="K172" s="105">
        <v>0</v>
      </c>
      <c r="L172" s="245">
        <v>0</v>
      </c>
      <c r="M172" s="168" t="e">
        <v>#DIV/0!</v>
      </c>
      <c r="N172" s="98" t="s">
        <v>446</v>
      </c>
    </row>
    <row r="173" spans="1:14" ht="35.1" customHeight="1" x14ac:dyDescent="0.25">
      <c r="A173" s="881" t="s">
        <v>132</v>
      </c>
      <c r="B173" s="85" t="s">
        <v>312</v>
      </c>
      <c r="C173" s="98" t="s">
        <v>313</v>
      </c>
      <c r="D173" s="98" t="s">
        <v>314</v>
      </c>
      <c r="E173" s="11" t="s">
        <v>315</v>
      </c>
      <c r="F173" s="86">
        <v>0.66400000000000003</v>
      </c>
      <c r="G173" s="890" t="s">
        <v>259</v>
      </c>
      <c r="H173" s="245">
        <v>7217</v>
      </c>
      <c r="I173" s="105">
        <v>414</v>
      </c>
      <c r="J173" s="102">
        <v>5.736455590965775E-2</v>
      </c>
      <c r="K173" s="94">
        <v>571</v>
      </c>
      <c r="L173" s="105">
        <v>877</v>
      </c>
      <c r="M173" s="168">
        <v>1.5359019264448337</v>
      </c>
      <c r="N173" s="98" t="s">
        <v>451</v>
      </c>
    </row>
    <row r="174" spans="1:14" ht="35.1" customHeight="1" x14ac:dyDescent="0.25">
      <c r="A174" s="881"/>
      <c r="B174" s="85" t="s">
        <v>316</v>
      </c>
      <c r="C174" s="98" t="s">
        <v>317</v>
      </c>
      <c r="D174" s="98" t="s">
        <v>318</v>
      </c>
      <c r="E174" s="11" t="s">
        <v>319</v>
      </c>
      <c r="F174" s="86">
        <v>0.13700000000000001</v>
      </c>
      <c r="G174" s="890"/>
      <c r="H174" s="94">
        <v>36</v>
      </c>
      <c r="I174" s="94">
        <v>2.5499999999999998</v>
      </c>
      <c r="J174" s="102">
        <v>7.0833333333333331E-2</v>
      </c>
      <c r="K174" s="105">
        <v>0</v>
      </c>
      <c r="L174" s="105">
        <v>0</v>
      </c>
      <c r="M174" s="168" t="e">
        <v>#DIV/0!</v>
      </c>
      <c r="N174" s="98" t="s">
        <v>449</v>
      </c>
    </row>
    <row r="175" spans="1:14" ht="35.1" customHeight="1" x14ac:dyDescent="0.25">
      <c r="A175" s="881"/>
      <c r="B175" s="85" t="s">
        <v>320</v>
      </c>
      <c r="C175" s="98" t="s">
        <v>321</v>
      </c>
      <c r="D175" s="98" t="s">
        <v>322</v>
      </c>
      <c r="E175" s="11" t="s">
        <v>315</v>
      </c>
      <c r="F175" s="86">
        <v>0.19800000000000001</v>
      </c>
      <c r="G175" s="890"/>
      <c r="H175" s="94">
        <v>27</v>
      </c>
      <c r="I175" s="105">
        <v>6.62</v>
      </c>
      <c r="J175" s="102">
        <v>0.2451851851851852</v>
      </c>
      <c r="K175" s="105">
        <v>0</v>
      </c>
      <c r="L175" s="245">
        <v>0</v>
      </c>
      <c r="M175" s="168" t="e">
        <v>#DIV/0!</v>
      </c>
      <c r="N175" s="98" t="s">
        <v>450</v>
      </c>
    </row>
    <row r="176" spans="1:14" ht="35.1" customHeight="1" x14ac:dyDescent="0.25">
      <c r="A176" s="881" t="s">
        <v>133</v>
      </c>
      <c r="B176" s="85" t="s">
        <v>312</v>
      </c>
      <c r="C176" s="98" t="s">
        <v>313</v>
      </c>
      <c r="D176" s="98" t="s">
        <v>314</v>
      </c>
      <c r="E176" s="11" t="s">
        <v>315</v>
      </c>
      <c r="F176" s="76">
        <v>0.66400000000000003</v>
      </c>
      <c r="G176" s="890" t="s">
        <v>259</v>
      </c>
      <c r="H176" s="245">
        <v>7217</v>
      </c>
      <c r="I176" s="105">
        <v>1517</v>
      </c>
      <c r="J176" s="102">
        <v>0.21019814327282804</v>
      </c>
      <c r="K176" s="94">
        <v>571</v>
      </c>
      <c r="L176" s="105">
        <v>877</v>
      </c>
      <c r="M176" s="168">
        <v>1.5359019264448337</v>
      </c>
      <c r="N176" s="98" t="s">
        <v>456</v>
      </c>
    </row>
    <row r="177" spans="1:14" ht="35.1" customHeight="1" x14ac:dyDescent="0.25">
      <c r="A177" s="881"/>
      <c r="B177" s="85" t="s">
        <v>316</v>
      </c>
      <c r="C177" s="98" t="s">
        <v>317</v>
      </c>
      <c r="D177" s="98" t="s">
        <v>318</v>
      </c>
      <c r="E177" s="11" t="s">
        <v>319</v>
      </c>
      <c r="F177" s="76">
        <v>0.13700000000000001</v>
      </c>
      <c r="G177" s="890"/>
      <c r="H177" s="94">
        <v>36</v>
      </c>
      <c r="I177" s="94">
        <v>6.04</v>
      </c>
      <c r="J177" s="102">
        <v>0.16777777777777778</v>
      </c>
      <c r="K177" s="105">
        <v>0</v>
      </c>
      <c r="L177" s="105">
        <v>0</v>
      </c>
      <c r="M177" s="168" t="e">
        <v>#DIV/0!</v>
      </c>
      <c r="N177" s="98" t="s">
        <v>457</v>
      </c>
    </row>
    <row r="178" spans="1:14" ht="35.1" customHeight="1" x14ac:dyDescent="0.25">
      <c r="A178" s="881"/>
      <c r="B178" s="85" t="s">
        <v>320</v>
      </c>
      <c r="C178" s="98" t="s">
        <v>321</v>
      </c>
      <c r="D178" s="98" t="s">
        <v>322</v>
      </c>
      <c r="E178" s="11" t="s">
        <v>315</v>
      </c>
      <c r="F178" s="76">
        <v>0.19800000000000001</v>
      </c>
      <c r="G178" s="890"/>
      <c r="H178" s="94">
        <v>27</v>
      </c>
      <c r="I178" s="105">
        <v>11.89</v>
      </c>
      <c r="J178" s="102">
        <v>0.44037037037037041</v>
      </c>
      <c r="K178" s="105">
        <v>0</v>
      </c>
      <c r="L178" s="245">
        <v>0</v>
      </c>
      <c r="M178" s="168" t="e">
        <v>#DIV/0!</v>
      </c>
      <c r="N178" s="98" t="s">
        <v>458</v>
      </c>
    </row>
    <row r="179" spans="1:14" ht="35.1" customHeight="1" x14ac:dyDescent="0.25">
      <c r="A179" s="881" t="s">
        <v>134</v>
      </c>
      <c r="B179" s="85" t="s">
        <v>312</v>
      </c>
      <c r="C179" s="98" t="s">
        <v>313</v>
      </c>
      <c r="D179" s="98" t="s">
        <v>314</v>
      </c>
      <c r="E179" s="11" t="s">
        <v>315</v>
      </c>
      <c r="F179" s="76">
        <v>0.66400000000000003</v>
      </c>
      <c r="G179" s="890" t="s">
        <v>259</v>
      </c>
      <c r="H179" s="260">
        <v>7217</v>
      </c>
      <c r="I179" s="262">
        <v>2446</v>
      </c>
      <c r="J179" s="259">
        <v>0.33892198974643206</v>
      </c>
      <c r="K179" s="261">
        <v>571</v>
      </c>
      <c r="L179" s="262">
        <v>569</v>
      </c>
      <c r="M179" s="269">
        <v>0.99649737302977237</v>
      </c>
      <c r="N179" s="270" t="s">
        <v>461</v>
      </c>
    </row>
    <row r="180" spans="1:14" ht="35.1" customHeight="1" x14ac:dyDescent="0.25">
      <c r="A180" s="881"/>
      <c r="B180" s="85" t="s">
        <v>316</v>
      </c>
      <c r="C180" s="98" t="s">
        <v>317</v>
      </c>
      <c r="D180" s="98" t="s">
        <v>318</v>
      </c>
      <c r="E180" s="11" t="s">
        <v>319</v>
      </c>
      <c r="F180" s="76">
        <v>0.13700000000000001</v>
      </c>
      <c r="G180" s="890"/>
      <c r="H180" s="261">
        <v>36</v>
      </c>
      <c r="I180" s="261">
        <v>9.66</v>
      </c>
      <c r="J180" s="259">
        <v>0.26833333333333331</v>
      </c>
      <c r="K180" s="262">
        <v>0</v>
      </c>
      <c r="L180" s="262">
        <v>0</v>
      </c>
      <c r="M180" s="269" t="e">
        <v>#DIV/0!</v>
      </c>
      <c r="N180" s="270" t="s">
        <v>462</v>
      </c>
    </row>
    <row r="181" spans="1:14" ht="35.1" customHeight="1" x14ac:dyDescent="0.25">
      <c r="A181" s="881"/>
      <c r="B181" s="85" t="s">
        <v>320</v>
      </c>
      <c r="C181" s="98" t="s">
        <v>321</v>
      </c>
      <c r="D181" s="98" t="s">
        <v>322</v>
      </c>
      <c r="E181" s="11" t="s">
        <v>315</v>
      </c>
      <c r="F181" s="76">
        <v>0.19800000000000001</v>
      </c>
      <c r="G181" s="890"/>
      <c r="H181" s="261">
        <v>27</v>
      </c>
      <c r="I181" s="262">
        <v>17.16</v>
      </c>
      <c r="J181" s="259">
        <v>0.63555555555555554</v>
      </c>
      <c r="K181" s="262">
        <v>0</v>
      </c>
      <c r="L181" s="260">
        <v>0</v>
      </c>
      <c r="M181" s="269" t="e">
        <v>#DIV/0!</v>
      </c>
      <c r="N181" s="270" t="s">
        <v>463</v>
      </c>
    </row>
    <row r="182" spans="1:14" ht="35.1" customHeight="1" x14ac:dyDescent="0.25">
      <c r="A182" s="881" t="s">
        <v>135</v>
      </c>
      <c r="B182" s="85" t="s">
        <v>312</v>
      </c>
      <c r="C182" s="98" t="s">
        <v>313</v>
      </c>
      <c r="D182" s="98" t="s">
        <v>314</v>
      </c>
      <c r="E182" s="11" t="s">
        <v>315</v>
      </c>
      <c r="F182" s="76">
        <v>0.66400000000000003</v>
      </c>
      <c r="G182" s="890" t="s">
        <v>259</v>
      </c>
      <c r="H182" s="245">
        <v>7217</v>
      </c>
      <c r="I182" s="105">
        <v>3371</v>
      </c>
      <c r="J182" s="429">
        <v>0.46709158930303452</v>
      </c>
      <c r="K182" s="94">
        <v>571</v>
      </c>
      <c r="L182" s="105">
        <v>571</v>
      </c>
      <c r="M182" s="430">
        <v>1</v>
      </c>
      <c r="N182" s="98" t="s">
        <v>464</v>
      </c>
    </row>
    <row r="183" spans="1:14" ht="35.1" customHeight="1" x14ac:dyDescent="0.25">
      <c r="A183" s="881"/>
      <c r="B183" s="85" t="s">
        <v>316</v>
      </c>
      <c r="C183" s="98" t="s">
        <v>317</v>
      </c>
      <c r="D183" s="98" t="s">
        <v>318</v>
      </c>
      <c r="E183" s="11" t="s">
        <v>319</v>
      </c>
      <c r="F183" s="76">
        <v>0.13700000000000001</v>
      </c>
      <c r="G183" s="890"/>
      <c r="H183" s="94">
        <v>36</v>
      </c>
      <c r="I183" s="94">
        <v>13.530000000000001</v>
      </c>
      <c r="J183" s="429">
        <v>0.37583333333333335</v>
      </c>
      <c r="K183" s="105">
        <v>0</v>
      </c>
      <c r="L183" s="105">
        <v>0</v>
      </c>
      <c r="M183" s="430" t="e">
        <v>#DIV/0!</v>
      </c>
      <c r="N183" s="98" t="s">
        <v>466</v>
      </c>
    </row>
    <row r="184" spans="1:14" ht="35.1" customHeight="1" x14ac:dyDescent="0.25">
      <c r="A184" s="881"/>
      <c r="B184" s="85" t="s">
        <v>320</v>
      </c>
      <c r="C184" s="98" t="s">
        <v>321</v>
      </c>
      <c r="D184" s="98" t="s">
        <v>322</v>
      </c>
      <c r="E184" s="11" t="s">
        <v>315</v>
      </c>
      <c r="F184" s="76">
        <v>0.19800000000000001</v>
      </c>
      <c r="G184" s="890"/>
      <c r="H184" s="94">
        <v>27</v>
      </c>
      <c r="I184" s="105">
        <v>18.38</v>
      </c>
      <c r="J184" s="429">
        <v>0.68074074074074076</v>
      </c>
      <c r="K184" s="105">
        <v>0</v>
      </c>
      <c r="L184" s="245">
        <v>0</v>
      </c>
      <c r="M184" s="430" t="e">
        <v>#DIV/0!</v>
      </c>
      <c r="N184" s="98" t="s">
        <v>467</v>
      </c>
    </row>
    <row r="185" spans="1:14" ht="35.1" customHeight="1" x14ac:dyDescent="0.25">
      <c r="A185" s="881" t="s">
        <v>124</v>
      </c>
      <c r="B185" s="85" t="s">
        <v>312</v>
      </c>
      <c r="C185" s="98" t="s">
        <v>313</v>
      </c>
      <c r="D185" s="98" t="s">
        <v>314</v>
      </c>
      <c r="E185" s="11" t="s">
        <v>315</v>
      </c>
      <c r="F185" s="76">
        <v>0.66400000000000003</v>
      </c>
      <c r="G185" s="890" t="s">
        <v>259</v>
      </c>
      <c r="H185" s="260">
        <v>7217</v>
      </c>
      <c r="I185" s="262">
        <v>4213</v>
      </c>
      <c r="J185" s="259">
        <v>0.58376056533185539</v>
      </c>
      <c r="K185" s="261">
        <v>571</v>
      </c>
      <c r="L185" s="262">
        <v>571</v>
      </c>
      <c r="M185" s="269">
        <v>1</v>
      </c>
      <c r="N185" s="270" t="s">
        <v>482</v>
      </c>
    </row>
    <row r="186" spans="1:14" ht="35.1" customHeight="1" x14ac:dyDescent="0.25">
      <c r="A186" s="881"/>
      <c r="B186" s="85" t="s">
        <v>316</v>
      </c>
      <c r="C186" s="98" t="s">
        <v>317</v>
      </c>
      <c r="D186" s="98" t="s">
        <v>318</v>
      </c>
      <c r="E186" s="11" t="s">
        <v>319</v>
      </c>
      <c r="F186" s="76">
        <v>0.13700000000000001</v>
      </c>
      <c r="G186" s="890"/>
      <c r="H186" s="261">
        <v>36</v>
      </c>
      <c r="I186" s="261">
        <v>17.400000000000002</v>
      </c>
      <c r="J186" s="259">
        <v>0.48333333333333339</v>
      </c>
      <c r="K186" s="262">
        <v>0</v>
      </c>
      <c r="L186" s="262">
        <v>0</v>
      </c>
      <c r="M186" s="269" t="e">
        <v>#DIV/0!</v>
      </c>
      <c r="N186" s="270" t="s">
        <v>483</v>
      </c>
    </row>
    <row r="187" spans="1:14" ht="35.1" customHeight="1" x14ac:dyDescent="0.25">
      <c r="A187" s="881"/>
      <c r="B187" s="85" t="s">
        <v>320</v>
      </c>
      <c r="C187" s="98" t="s">
        <v>321</v>
      </c>
      <c r="D187" s="98" t="s">
        <v>322</v>
      </c>
      <c r="E187" s="11" t="s">
        <v>315</v>
      </c>
      <c r="F187" s="76">
        <v>0.19800000000000001</v>
      </c>
      <c r="G187" s="890"/>
      <c r="H187" s="261">
        <v>27</v>
      </c>
      <c r="I187" s="262">
        <v>19.599999999999998</v>
      </c>
      <c r="J187" s="259">
        <v>0.72592592592592586</v>
      </c>
      <c r="K187" s="262">
        <v>0</v>
      </c>
      <c r="L187" s="260">
        <v>0</v>
      </c>
      <c r="M187" s="269" t="e">
        <v>#DIV/0!</v>
      </c>
      <c r="N187" s="270" t="s">
        <v>484</v>
      </c>
    </row>
    <row r="188" spans="1:14" ht="35.1" customHeight="1" x14ac:dyDescent="0.25">
      <c r="A188" s="881" t="s">
        <v>125</v>
      </c>
      <c r="B188" s="447" t="s">
        <v>312</v>
      </c>
      <c r="C188" s="270" t="s">
        <v>313</v>
      </c>
      <c r="D188" s="270" t="s">
        <v>314</v>
      </c>
      <c r="E188" s="258" t="s">
        <v>315</v>
      </c>
      <c r="F188" s="448">
        <v>0.66400000000000003</v>
      </c>
      <c r="G188" s="889" t="s">
        <v>259</v>
      </c>
      <c r="H188" s="260">
        <v>7217</v>
      </c>
      <c r="I188" s="260">
        <v>4554</v>
      </c>
      <c r="J188" s="259">
        <v>0.63101011500623527</v>
      </c>
      <c r="K188" s="261">
        <v>571</v>
      </c>
      <c r="L188" s="262">
        <v>571</v>
      </c>
      <c r="M188" s="259">
        <v>1</v>
      </c>
      <c r="N188" s="433" t="s">
        <v>485</v>
      </c>
    </row>
    <row r="189" spans="1:14" ht="35.1" customHeight="1" x14ac:dyDescent="0.25">
      <c r="A189" s="881"/>
      <c r="B189" s="447" t="s">
        <v>316</v>
      </c>
      <c r="C189" s="270" t="s">
        <v>317</v>
      </c>
      <c r="D189" s="270" t="s">
        <v>318</v>
      </c>
      <c r="E189" s="258" t="s">
        <v>319</v>
      </c>
      <c r="F189" s="448">
        <v>0.13700000000000001</v>
      </c>
      <c r="G189" s="889"/>
      <c r="H189" s="261">
        <v>36</v>
      </c>
      <c r="I189" s="426">
        <v>21.270000000000003</v>
      </c>
      <c r="J189" s="259">
        <v>0.59083333333333343</v>
      </c>
      <c r="K189" s="260">
        <v>0</v>
      </c>
      <c r="L189" s="262">
        <v>0</v>
      </c>
      <c r="M189" s="259" t="e">
        <v>#DIV/0!</v>
      </c>
      <c r="N189" s="433" t="s">
        <v>486</v>
      </c>
    </row>
    <row r="190" spans="1:14" ht="35.1" customHeight="1" x14ac:dyDescent="0.25">
      <c r="A190" s="881"/>
      <c r="B190" s="447" t="s">
        <v>320</v>
      </c>
      <c r="C190" s="270" t="s">
        <v>321</v>
      </c>
      <c r="D190" s="270" t="s">
        <v>322</v>
      </c>
      <c r="E190" s="258" t="s">
        <v>315</v>
      </c>
      <c r="F190" s="448">
        <v>0.19800000000000001</v>
      </c>
      <c r="G190" s="889"/>
      <c r="H190" s="261">
        <v>27</v>
      </c>
      <c r="I190" s="262">
        <v>20.819999999999997</v>
      </c>
      <c r="J190" s="259">
        <v>0.77111111111111097</v>
      </c>
      <c r="K190" s="260">
        <v>0</v>
      </c>
      <c r="L190" s="262">
        <v>0</v>
      </c>
      <c r="M190" s="259" t="e">
        <v>#DIV/0!</v>
      </c>
      <c r="N190" s="433" t="s">
        <v>489</v>
      </c>
    </row>
    <row r="191" spans="1:14" ht="35.1" customHeight="1" x14ac:dyDescent="0.25">
      <c r="A191" s="881" t="s">
        <v>126</v>
      </c>
      <c r="B191" s="447" t="s">
        <v>312</v>
      </c>
      <c r="C191" s="270" t="s">
        <v>313</v>
      </c>
      <c r="D191" s="270" t="s">
        <v>314</v>
      </c>
      <c r="E191" s="258" t="s">
        <v>315</v>
      </c>
      <c r="F191" s="448">
        <v>0.66400000000000003</v>
      </c>
      <c r="G191" s="889" t="s">
        <v>259</v>
      </c>
      <c r="H191" s="260">
        <v>7217</v>
      </c>
      <c r="I191" s="260">
        <v>5236</v>
      </c>
      <c r="J191" s="259">
        <v>0.72550921435499516</v>
      </c>
      <c r="K191" s="261">
        <v>571</v>
      </c>
      <c r="L191" s="262">
        <v>571</v>
      </c>
      <c r="M191" s="259">
        <v>1</v>
      </c>
      <c r="N191" s="433" t="s">
        <v>511</v>
      </c>
    </row>
    <row r="192" spans="1:14" ht="35.1" customHeight="1" x14ac:dyDescent="0.25">
      <c r="A192" s="881"/>
      <c r="B192" s="447" t="s">
        <v>316</v>
      </c>
      <c r="C192" s="270" t="s">
        <v>317</v>
      </c>
      <c r="D192" s="270" t="s">
        <v>318</v>
      </c>
      <c r="E192" s="258" t="s">
        <v>319</v>
      </c>
      <c r="F192" s="448">
        <v>0.13700000000000001</v>
      </c>
      <c r="G192" s="889"/>
      <c r="H192" s="261">
        <v>36</v>
      </c>
      <c r="I192" s="426">
        <v>25.140000000000004</v>
      </c>
      <c r="J192" s="259">
        <v>0.69833333333333347</v>
      </c>
      <c r="K192" s="260">
        <v>0</v>
      </c>
      <c r="L192" s="262">
        <v>0</v>
      </c>
      <c r="M192" s="259" t="e">
        <v>#DIV/0!</v>
      </c>
      <c r="N192" s="433" t="s">
        <v>512</v>
      </c>
    </row>
    <row r="193" spans="1:14" ht="35.1" customHeight="1" x14ac:dyDescent="0.25">
      <c r="A193" s="881"/>
      <c r="B193" s="447" t="s">
        <v>320</v>
      </c>
      <c r="C193" s="270" t="s">
        <v>321</v>
      </c>
      <c r="D193" s="270" t="s">
        <v>322</v>
      </c>
      <c r="E193" s="258" t="s">
        <v>315</v>
      </c>
      <c r="F193" s="448">
        <v>0.19800000000000001</v>
      </c>
      <c r="G193" s="889"/>
      <c r="H193" s="260">
        <v>27</v>
      </c>
      <c r="I193" s="260">
        <v>22.439999999999998</v>
      </c>
      <c r="J193" s="259">
        <v>0.83111111111111102</v>
      </c>
      <c r="K193" s="261">
        <v>0</v>
      </c>
      <c r="L193" s="262">
        <v>0</v>
      </c>
      <c r="M193" s="259" t="e">
        <v>#DIV/0!</v>
      </c>
      <c r="N193" s="433" t="s">
        <v>513</v>
      </c>
    </row>
    <row r="194" spans="1:14" ht="35.1" customHeight="1" x14ac:dyDescent="0.25">
      <c r="A194" s="881" t="s">
        <v>127</v>
      </c>
      <c r="B194" s="85" t="s">
        <v>312</v>
      </c>
      <c r="C194" s="98" t="s">
        <v>313</v>
      </c>
      <c r="D194" s="98" t="s">
        <v>314</v>
      </c>
      <c r="E194" s="11" t="s">
        <v>315</v>
      </c>
      <c r="F194" s="76">
        <v>0.66400000000000003</v>
      </c>
      <c r="G194" s="890" t="s">
        <v>259</v>
      </c>
      <c r="H194" s="475">
        <v>7217</v>
      </c>
      <c r="I194" s="475">
        <v>5936</v>
      </c>
      <c r="J194" s="476">
        <v>0.82250242483026192</v>
      </c>
      <c r="K194" s="477">
        <v>571</v>
      </c>
      <c r="L194" s="478">
        <v>571</v>
      </c>
      <c r="M194" s="476">
        <v>1</v>
      </c>
      <c r="N194" s="479" t="s">
        <v>516</v>
      </c>
    </row>
    <row r="195" spans="1:14" ht="35.1" customHeight="1" x14ac:dyDescent="0.25">
      <c r="A195" s="881"/>
      <c r="B195" s="85" t="s">
        <v>316</v>
      </c>
      <c r="C195" s="98" t="s">
        <v>317</v>
      </c>
      <c r="D195" s="98" t="s">
        <v>318</v>
      </c>
      <c r="E195" s="11" t="s">
        <v>319</v>
      </c>
      <c r="F195" s="76">
        <v>0.13700000000000001</v>
      </c>
      <c r="G195" s="890"/>
      <c r="H195" s="477">
        <v>36</v>
      </c>
      <c r="I195" s="480">
        <v>29.010000000000005</v>
      </c>
      <c r="J195" s="476">
        <v>0.80583333333333351</v>
      </c>
      <c r="K195" s="475">
        <v>0</v>
      </c>
      <c r="L195" s="478">
        <v>0</v>
      </c>
      <c r="M195" s="476" t="e">
        <v>#DIV/0!</v>
      </c>
      <c r="N195" s="479" t="s">
        <v>517</v>
      </c>
    </row>
    <row r="196" spans="1:14" ht="35.1" customHeight="1" x14ac:dyDescent="0.25">
      <c r="A196" s="881"/>
      <c r="B196" s="85" t="s">
        <v>320</v>
      </c>
      <c r="C196" s="98" t="s">
        <v>321</v>
      </c>
      <c r="D196" s="98" t="s">
        <v>322</v>
      </c>
      <c r="E196" s="11" t="s">
        <v>315</v>
      </c>
      <c r="F196" s="76">
        <v>0.19800000000000001</v>
      </c>
      <c r="G196" s="890"/>
      <c r="H196" s="477">
        <v>27</v>
      </c>
      <c r="I196" s="478">
        <v>24.06</v>
      </c>
      <c r="J196" s="476">
        <v>0.89111111111111108</v>
      </c>
      <c r="K196" s="475">
        <v>0</v>
      </c>
      <c r="L196" s="478">
        <v>0</v>
      </c>
      <c r="M196" s="476" t="e">
        <v>#DIV/0!</v>
      </c>
      <c r="N196" s="479" t="s">
        <v>518</v>
      </c>
    </row>
    <row r="197" spans="1:14" ht="35.1" customHeight="1" x14ac:dyDescent="0.25">
      <c r="A197" s="881" t="s">
        <v>128</v>
      </c>
      <c r="B197" s="85" t="s">
        <v>312</v>
      </c>
      <c r="C197" s="98" t="s">
        <v>313</v>
      </c>
      <c r="D197" s="98" t="s">
        <v>314</v>
      </c>
      <c r="E197" s="11" t="s">
        <v>315</v>
      </c>
      <c r="F197" s="76">
        <v>0.66400000000000003</v>
      </c>
      <c r="G197" s="890" t="s">
        <v>259</v>
      </c>
      <c r="H197" s="475">
        <v>7217</v>
      </c>
      <c r="I197" s="475">
        <v>6750</v>
      </c>
      <c r="J197" s="476">
        <v>0.93529167244007205</v>
      </c>
      <c r="K197" s="477">
        <v>571</v>
      </c>
      <c r="L197" s="478">
        <v>571</v>
      </c>
      <c r="M197" s="476">
        <v>1</v>
      </c>
      <c r="N197" s="479" t="s">
        <v>522</v>
      </c>
    </row>
    <row r="198" spans="1:14" ht="35.1" customHeight="1" x14ac:dyDescent="0.25">
      <c r="A198" s="881"/>
      <c r="B198" s="85" t="s">
        <v>316</v>
      </c>
      <c r="C198" s="98" t="s">
        <v>317</v>
      </c>
      <c r="D198" s="98" t="s">
        <v>318</v>
      </c>
      <c r="E198" s="11" t="s">
        <v>319</v>
      </c>
      <c r="F198" s="76">
        <v>0.13700000000000001</v>
      </c>
      <c r="G198" s="890"/>
      <c r="H198" s="477">
        <v>36</v>
      </c>
      <c r="I198" s="480">
        <v>32.880000000000003</v>
      </c>
      <c r="J198" s="476">
        <v>0.91333333333333344</v>
      </c>
      <c r="K198" s="475">
        <v>0</v>
      </c>
      <c r="L198" s="478">
        <v>0</v>
      </c>
      <c r="M198" s="476" t="e">
        <v>#DIV/0!</v>
      </c>
      <c r="N198" s="479" t="s">
        <v>523</v>
      </c>
    </row>
    <row r="199" spans="1:14" ht="35.1" customHeight="1" x14ac:dyDescent="0.25">
      <c r="A199" s="881"/>
      <c r="B199" s="85" t="s">
        <v>320</v>
      </c>
      <c r="C199" s="98" t="s">
        <v>321</v>
      </c>
      <c r="D199" s="98" t="s">
        <v>322</v>
      </c>
      <c r="E199" s="11" t="s">
        <v>315</v>
      </c>
      <c r="F199" s="76">
        <v>0.19800000000000001</v>
      </c>
      <c r="G199" s="890"/>
      <c r="H199" s="477">
        <v>27</v>
      </c>
      <c r="I199" s="478">
        <v>25.68</v>
      </c>
      <c r="J199" s="476">
        <v>0.95111111111111113</v>
      </c>
      <c r="K199" s="475">
        <v>0</v>
      </c>
      <c r="L199" s="478">
        <v>0</v>
      </c>
      <c r="M199" s="476" t="e">
        <v>#DIV/0!</v>
      </c>
      <c r="N199" s="479" t="s">
        <v>524</v>
      </c>
    </row>
    <row r="200" spans="1:14" ht="35.1" customHeight="1" x14ac:dyDescent="0.25">
      <c r="A200" s="882" t="s">
        <v>129</v>
      </c>
      <c r="B200" s="578" t="s">
        <v>312</v>
      </c>
      <c r="C200" s="577" t="s">
        <v>313</v>
      </c>
      <c r="D200" s="577" t="s">
        <v>314</v>
      </c>
      <c r="E200" s="571" t="s">
        <v>315</v>
      </c>
      <c r="F200" s="579">
        <v>0.66400000000000003</v>
      </c>
      <c r="G200" s="757" t="s">
        <v>259</v>
      </c>
      <c r="H200" s="580">
        <f>+INVERSIÓN!DL10</f>
        <v>7217</v>
      </c>
      <c r="I200" s="580">
        <f>+INVERSIÓN!DK10</f>
        <v>7052</v>
      </c>
      <c r="J200" s="259">
        <f>+I200/H200</f>
        <v>0.97713731467368714</v>
      </c>
      <c r="K200" s="581">
        <f>+INVERSIÓN!DL13</f>
        <v>571</v>
      </c>
      <c r="L200" s="572">
        <f>+INVERSIÓN!DM13</f>
        <v>571</v>
      </c>
      <c r="M200" s="259">
        <f t="shared" ref="M200:M202" si="4">+L200/K200</f>
        <v>1</v>
      </c>
      <c r="N200" s="582" t="str">
        <f>+INVERSIÓN!EW10</f>
        <v>Durante el período comprendido del 01 de enero al 31 de Diciembre del 2023, se avanzó en un 97,7% de lo programado en la vigencia, lo que representa el diagnóstico, clasificación e intervención jurídica de 7.052 expedientes sancionatorios.
Frente a la magnitud de reserva constituida en el 2023, se realizó la intervención jurídica, realizando el saneamiento de 571 expedientes constituidos como reserva.
Adicionalmente y con el ánimo de garantizar la atención y saneamiento de los nuevos procesos sancionatorios que se originen, a fin de evitar el incremento del universo de expedientes, se adelantaron 1.397  trámites administrativos ambientales, los cuales están representados en 1.266 actuaciones de impulso y 131 actuaciones de fondo, originadas de los procesos de evaluación control y seguimiento.</v>
      </c>
    </row>
    <row r="201" spans="1:14" ht="35.1" customHeight="1" x14ac:dyDescent="0.25">
      <c r="A201" s="882"/>
      <c r="B201" s="578" t="s">
        <v>316</v>
      </c>
      <c r="C201" s="577" t="s">
        <v>317</v>
      </c>
      <c r="D201" s="577" t="s">
        <v>318</v>
      </c>
      <c r="E201" s="571" t="s">
        <v>319</v>
      </c>
      <c r="F201" s="579">
        <v>0.13700000000000001</v>
      </c>
      <c r="G201" s="757"/>
      <c r="H201" s="581">
        <f>+INVERSIÓN!DL17</f>
        <v>36</v>
      </c>
      <c r="I201" s="583">
        <f>+INVERSIÓN!DK17</f>
        <v>36</v>
      </c>
      <c r="J201" s="259">
        <f t="shared" ref="J201:J202" si="5">+I201/H201</f>
        <v>1</v>
      </c>
      <c r="K201" s="580">
        <f>+INVERSIÓN!DL20</f>
        <v>0</v>
      </c>
      <c r="L201" s="572">
        <f>+INVERSIÓN!DM20</f>
        <v>0</v>
      </c>
      <c r="M201" s="259" t="e">
        <f t="shared" si="4"/>
        <v>#DIV/0!</v>
      </c>
      <c r="N201" s="582" t="str">
        <f>+INVERSIÓN!EW17</f>
        <v>Durante el periodo comprendido del 1 de enero al 31 de Diciembre de 2023, se avanzó en un 100% de lo programado en la vigencia, con el desarrollo de las siguientes actividades: 
Desde el componente de alistamiento, gestión y administración de los expedientes se avanzó en el desarrollo de 25.146 actividades archivísticas correspondientes a la serie documental " expedientes sancionatorios".  Se realizó una capacitación a la DPSIA sobre la misionalidad de la DCA lo que permite generar la visión de un primer tablero básico que mejore el acceso a la información de manera efectiva, para efectos de alimentar la base que da origen a este tablero, se han alimentado 14.702 registros básicos, adicionalmente  se realizó la digitalización 1,369 expedientes, Se puso en operación una herramienta (macro) en la cual se realiza el diligenciamiento de la información sobre el estado y avance del trámite de los procesos sancionatorios, adicionalmente  Se genera la  georreferenciación de 236 áreas de afectación  de licencias ambientales y se realizaron las pruebas funcionales del reporte de inclusión predial en determinantes ambientales (Decreto 555 de 2021) - Visor Geográfico Ambiental de Bogotá, solicitadas por la DPSIA.</v>
      </c>
    </row>
    <row r="202" spans="1:14" ht="35.1" customHeight="1" x14ac:dyDescent="0.25">
      <c r="A202" s="882"/>
      <c r="B202" s="578" t="s">
        <v>320</v>
      </c>
      <c r="C202" s="577" t="s">
        <v>321</v>
      </c>
      <c r="D202" s="577" t="s">
        <v>322</v>
      </c>
      <c r="E202" s="571" t="s">
        <v>315</v>
      </c>
      <c r="F202" s="579">
        <v>0.19800000000000001</v>
      </c>
      <c r="G202" s="757"/>
      <c r="H202" s="581">
        <f>+INVERSIÓN!DL24</f>
        <v>27</v>
      </c>
      <c r="I202" s="572">
        <f>+INVERSIÓN!DK24</f>
        <v>27</v>
      </c>
      <c r="J202" s="259">
        <f t="shared" si="5"/>
        <v>1</v>
      </c>
      <c r="K202" s="580">
        <f>+INVERSIÓN!DL27</f>
        <v>0</v>
      </c>
      <c r="L202" s="572">
        <f>+INVERSIÓN!DM27</f>
        <v>0</v>
      </c>
      <c r="M202" s="259" t="e">
        <f t="shared" si="4"/>
        <v>#DIV/0!</v>
      </c>
      <c r="N202" s="582" t="str">
        <f>+INVERSIÓN!EW24</f>
        <v>Para el periodo comprendido del 01 de enero al 31 de Diciembre del 2023, frente al seguimiento al proceso y procedimientos en el marco del trámite sancionatorio se avanzó en un 100% con relación a lo programado por medio del desarrollo de las siguientes acciones: se cargo la versión final en  ISOLUCION  al procedimiento No.PM04-PR82 el cual fue aprobado por la Subsecretaria a través del memorando 2023IE197972, Se diseñó y puso en marcha el modelo de seguimiento semanal, a partir de la recolección de información de las bases generadas para diligenciamiento de proyectores y revisores que tratan temas dentro del proceso sancionatorio ambiental, las cuales se está ejecutando de acuerdo con el modelo diseñado.</v>
      </c>
    </row>
    <row r="206" spans="1:14" ht="20.25" x14ac:dyDescent="0.25">
      <c r="A206" s="883" t="s">
        <v>367</v>
      </c>
      <c r="B206" s="884"/>
      <c r="C206" s="884"/>
      <c r="D206" s="884"/>
      <c r="E206" s="884"/>
      <c r="F206" s="884"/>
      <c r="G206" s="885"/>
    </row>
    <row r="207" spans="1:14" ht="39" thickBot="1" x14ac:dyDescent="0.3">
      <c r="A207" s="26" t="s">
        <v>48</v>
      </c>
      <c r="B207" s="35" t="s">
        <v>137</v>
      </c>
      <c r="C207" s="35" t="s">
        <v>138</v>
      </c>
      <c r="D207" s="35" t="s">
        <v>155</v>
      </c>
      <c r="E207" s="35" t="s">
        <v>157</v>
      </c>
      <c r="F207" s="35" t="s">
        <v>158</v>
      </c>
      <c r="G207" s="36" t="s">
        <v>156</v>
      </c>
    </row>
    <row r="208" spans="1:14" ht="50.1" customHeight="1" x14ac:dyDescent="0.25">
      <c r="A208" s="879" t="s">
        <v>124</v>
      </c>
      <c r="B208" s="85" t="s">
        <v>312</v>
      </c>
      <c r="C208" s="98" t="s">
        <v>313</v>
      </c>
      <c r="D208" s="98" t="s">
        <v>323</v>
      </c>
      <c r="E208" s="161">
        <v>1160000000</v>
      </c>
      <c r="F208" s="110">
        <v>0</v>
      </c>
      <c r="G208" s="162" t="s">
        <v>368</v>
      </c>
    </row>
    <row r="209" spans="1:7" ht="50.1" customHeight="1" x14ac:dyDescent="0.25">
      <c r="A209" s="880"/>
      <c r="B209" s="85" t="s">
        <v>316</v>
      </c>
      <c r="C209" s="98" t="s">
        <v>317</v>
      </c>
      <c r="D209" s="98" t="s">
        <v>324</v>
      </c>
      <c r="E209" s="161">
        <v>104500000</v>
      </c>
      <c r="F209" s="110">
        <v>0</v>
      </c>
      <c r="G209" s="162" t="s">
        <v>368</v>
      </c>
    </row>
    <row r="210" spans="1:7" ht="50.1" customHeight="1" x14ac:dyDescent="0.25">
      <c r="A210" s="905"/>
      <c r="B210" s="85" t="s">
        <v>320</v>
      </c>
      <c r="C210" s="98" t="s">
        <v>321</v>
      </c>
      <c r="D210" s="98" t="s">
        <v>325</v>
      </c>
      <c r="E210" s="161">
        <v>445395000</v>
      </c>
      <c r="F210" s="110">
        <v>0</v>
      </c>
      <c r="G210" s="162" t="s">
        <v>368</v>
      </c>
    </row>
    <row r="211" spans="1:7" ht="50.1" customHeight="1" x14ac:dyDescent="0.25">
      <c r="A211" s="879" t="s">
        <v>125</v>
      </c>
      <c r="B211" s="85" t="s">
        <v>312</v>
      </c>
      <c r="C211" s="98" t="s">
        <v>313</v>
      </c>
      <c r="D211" s="98" t="s">
        <v>323</v>
      </c>
      <c r="E211" s="161">
        <v>1174000000</v>
      </c>
      <c r="F211" s="110">
        <v>0</v>
      </c>
      <c r="G211" s="158" t="s">
        <v>369</v>
      </c>
    </row>
    <row r="212" spans="1:7" ht="50.1" customHeight="1" x14ac:dyDescent="0.25">
      <c r="A212" s="880"/>
      <c r="B212" s="85" t="s">
        <v>316</v>
      </c>
      <c r="C212" s="98" t="s">
        <v>317</v>
      </c>
      <c r="D212" s="98" t="s">
        <v>324</v>
      </c>
      <c r="E212" s="161">
        <v>104500000</v>
      </c>
      <c r="F212" s="110">
        <v>0</v>
      </c>
      <c r="G212" s="158" t="s">
        <v>490</v>
      </c>
    </row>
    <row r="213" spans="1:7" ht="50.1" customHeight="1" x14ac:dyDescent="0.25">
      <c r="A213" s="880"/>
      <c r="B213" s="85" t="s">
        <v>320</v>
      </c>
      <c r="C213" s="98" t="s">
        <v>321</v>
      </c>
      <c r="D213" s="98" t="s">
        <v>325</v>
      </c>
      <c r="E213" s="161">
        <v>431395000</v>
      </c>
      <c r="F213" s="110">
        <v>0</v>
      </c>
      <c r="G213" s="158" t="s">
        <v>370</v>
      </c>
    </row>
    <row r="214" spans="1:7" ht="50.1" customHeight="1" x14ac:dyDescent="0.25">
      <c r="A214" s="880" t="s">
        <v>126</v>
      </c>
      <c r="B214" s="85" t="s">
        <v>312</v>
      </c>
      <c r="C214" s="98" t="s">
        <v>313</v>
      </c>
      <c r="D214" s="98" t="s">
        <v>323</v>
      </c>
      <c r="E214" s="161">
        <v>1174000000</v>
      </c>
      <c r="F214" s="152">
        <v>4445766</v>
      </c>
      <c r="G214" s="158" t="s">
        <v>371</v>
      </c>
    </row>
    <row r="215" spans="1:7" ht="50.1" customHeight="1" x14ac:dyDescent="0.25">
      <c r="A215" s="880"/>
      <c r="B215" s="85" t="s">
        <v>316</v>
      </c>
      <c r="C215" s="98" t="s">
        <v>317</v>
      </c>
      <c r="D215" s="98" t="s">
        <v>324</v>
      </c>
      <c r="E215" s="161">
        <v>104500000</v>
      </c>
      <c r="F215" s="152">
        <v>3630666</v>
      </c>
      <c r="G215" s="158" t="s">
        <v>372</v>
      </c>
    </row>
    <row r="216" spans="1:7" ht="50.1" customHeight="1" x14ac:dyDescent="0.25">
      <c r="A216" s="905"/>
      <c r="B216" s="85" t="s">
        <v>320</v>
      </c>
      <c r="C216" s="98" t="s">
        <v>321</v>
      </c>
      <c r="D216" s="98" t="s">
        <v>325</v>
      </c>
      <c r="E216" s="161">
        <v>431395000</v>
      </c>
      <c r="F216" s="152">
        <v>27922966</v>
      </c>
      <c r="G216" s="158" t="s">
        <v>491</v>
      </c>
    </row>
    <row r="217" spans="1:7" ht="50.1" customHeight="1" x14ac:dyDescent="0.25">
      <c r="A217" s="881" t="s">
        <v>127</v>
      </c>
      <c r="B217" s="85" t="s">
        <v>312</v>
      </c>
      <c r="C217" s="98" t="s">
        <v>313</v>
      </c>
      <c r="D217" s="98" t="s">
        <v>323</v>
      </c>
      <c r="E217" s="161">
        <f>+[4]INVERSIÓN!O11</f>
        <v>1174000000</v>
      </c>
      <c r="F217" s="152">
        <v>67653334</v>
      </c>
      <c r="G217" s="158" t="s">
        <v>373</v>
      </c>
    </row>
    <row r="218" spans="1:7" ht="50.1" customHeight="1" x14ac:dyDescent="0.25">
      <c r="A218" s="881"/>
      <c r="B218" s="85" t="s">
        <v>316</v>
      </c>
      <c r="C218" s="98" t="s">
        <v>317</v>
      </c>
      <c r="D218" s="98" t="s">
        <v>324</v>
      </c>
      <c r="E218" s="161">
        <f>+[4]INVERSIÓN!O17</f>
        <v>104500000</v>
      </c>
      <c r="F218" s="152">
        <v>16911200</v>
      </c>
      <c r="G218" s="158" t="s">
        <v>374</v>
      </c>
    </row>
    <row r="219" spans="1:7" ht="50.1" customHeight="1" x14ac:dyDescent="0.25">
      <c r="A219" s="881"/>
      <c r="B219" s="85" t="s">
        <v>320</v>
      </c>
      <c r="C219" s="98" t="s">
        <v>321</v>
      </c>
      <c r="D219" s="98" t="s">
        <v>325</v>
      </c>
      <c r="E219" s="161">
        <f>+[4]INVERSIÓN!O19</f>
        <v>0</v>
      </c>
      <c r="F219" s="152">
        <v>67274134</v>
      </c>
      <c r="G219" s="158" t="s">
        <v>492</v>
      </c>
    </row>
    <row r="220" spans="1:7" ht="50.1" customHeight="1" x14ac:dyDescent="0.25">
      <c r="A220" s="886" t="s">
        <v>128</v>
      </c>
      <c r="B220" s="85" t="s">
        <v>312</v>
      </c>
      <c r="C220" s="98" t="s">
        <v>313</v>
      </c>
      <c r="D220" s="98" t="s">
        <v>323</v>
      </c>
      <c r="E220" s="161">
        <v>1174000000</v>
      </c>
      <c r="F220" s="152">
        <v>84301000</v>
      </c>
      <c r="G220" s="158" t="s">
        <v>375</v>
      </c>
    </row>
    <row r="221" spans="1:7" ht="50.1" customHeight="1" x14ac:dyDescent="0.25">
      <c r="A221" s="887"/>
      <c r="B221" s="85" t="s">
        <v>316</v>
      </c>
      <c r="C221" s="98" t="s">
        <v>317</v>
      </c>
      <c r="D221" s="98" t="s">
        <v>324</v>
      </c>
      <c r="E221" s="161">
        <v>104500000</v>
      </c>
      <c r="F221" s="152">
        <v>20864000</v>
      </c>
      <c r="G221" s="158" t="s">
        <v>493</v>
      </c>
    </row>
    <row r="222" spans="1:7" ht="50.1" customHeight="1" x14ac:dyDescent="0.25">
      <c r="A222" s="888"/>
      <c r="B222" s="85" t="s">
        <v>320</v>
      </c>
      <c r="C222" s="98" t="s">
        <v>321</v>
      </c>
      <c r="D222" s="98" t="s">
        <v>325</v>
      </c>
      <c r="E222" s="161">
        <v>431395000</v>
      </c>
      <c r="F222" s="152">
        <v>85821000</v>
      </c>
      <c r="G222" s="159" t="s">
        <v>494</v>
      </c>
    </row>
    <row r="223" spans="1:7" ht="50.1" customHeight="1" x14ac:dyDescent="0.25">
      <c r="A223" s="881" t="s">
        <v>129</v>
      </c>
      <c r="B223" s="85" t="s">
        <v>312</v>
      </c>
      <c r="C223" s="98" t="s">
        <v>313</v>
      </c>
      <c r="D223" s="98" t="s">
        <v>323</v>
      </c>
      <c r="E223" s="161">
        <v>1161283347</v>
      </c>
      <c r="F223" s="152">
        <v>84301000</v>
      </c>
      <c r="G223" s="158" t="s">
        <v>376</v>
      </c>
    </row>
    <row r="224" spans="1:7" ht="50.1" customHeight="1" x14ac:dyDescent="0.25">
      <c r="A224" s="881"/>
      <c r="B224" s="85" t="s">
        <v>316</v>
      </c>
      <c r="C224" s="98" t="s">
        <v>317</v>
      </c>
      <c r="D224" s="98" t="s">
        <v>324</v>
      </c>
      <c r="E224" s="161">
        <v>104500000</v>
      </c>
      <c r="F224" s="152">
        <v>1944000</v>
      </c>
      <c r="G224" s="158" t="s">
        <v>495</v>
      </c>
    </row>
    <row r="225" spans="1:7" ht="50.1" customHeight="1" x14ac:dyDescent="0.25">
      <c r="A225" s="881"/>
      <c r="B225" s="85" t="s">
        <v>320</v>
      </c>
      <c r="C225" s="98" t="s">
        <v>321</v>
      </c>
      <c r="D225" s="98" t="s">
        <v>325</v>
      </c>
      <c r="E225" s="161">
        <v>444111653</v>
      </c>
      <c r="F225" s="152">
        <v>59217000</v>
      </c>
      <c r="G225" s="158" t="s">
        <v>496</v>
      </c>
    </row>
    <row r="226" spans="1:7" ht="15.75" thickBot="1" x14ac:dyDescent="0.3"/>
    <row r="227" spans="1:7" ht="20.25" x14ac:dyDescent="0.25">
      <c r="A227" s="883" t="s">
        <v>366</v>
      </c>
      <c r="B227" s="884"/>
      <c r="C227" s="884"/>
      <c r="D227" s="884"/>
      <c r="E227" s="884"/>
      <c r="F227" s="884"/>
      <c r="G227" s="885"/>
    </row>
    <row r="228" spans="1:7" ht="39" thickBot="1" x14ac:dyDescent="0.3">
      <c r="A228" s="26" t="s">
        <v>49</v>
      </c>
      <c r="B228" s="35" t="s">
        <v>137</v>
      </c>
      <c r="C228" s="35" t="s">
        <v>138</v>
      </c>
      <c r="D228" s="35" t="s">
        <v>155</v>
      </c>
      <c r="E228" s="35" t="s">
        <v>157</v>
      </c>
      <c r="F228" s="35" t="s">
        <v>158</v>
      </c>
      <c r="G228" s="36" t="s">
        <v>156</v>
      </c>
    </row>
    <row r="229" spans="1:7" ht="50.1" customHeight="1" x14ac:dyDescent="0.25">
      <c r="A229" s="879" t="s">
        <v>130</v>
      </c>
      <c r="B229" s="85" t="s">
        <v>312</v>
      </c>
      <c r="C229" s="98" t="s">
        <v>313</v>
      </c>
      <c r="D229" s="98" t="s">
        <v>323</v>
      </c>
      <c r="E229" s="109">
        <v>1690702000</v>
      </c>
      <c r="F229" s="110">
        <v>0</v>
      </c>
      <c r="G229" s="124" t="s">
        <v>68</v>
      </c>
    </row>
    <row r="230" spans="1:7" ht="50.1" customHeight="1" x14ac:dyDescent="0.25">
      <c r="A230" s="880"/>
      <c r="B230" s="85" t="s">
        <v>316</v>
      </c>
      <c r="C230" s="98" t="s">
        <v>317</v>
      </c>
      <c r="D230" s="98" t="s">
        <v>324</v>
      </c>
      <c r="E230" s="109">
        <v>273987000</v>
      </c>
      <c r="F230" s="110">
        <v>0</v>
      </c>
      <c r="G230" s="124" t="s">
        <v>68</v>
      </c>
    </row>
    <row r="231" spans="1:7" ht="50.1" customHeight="1" x14ac:dyDescent="0.25">
      <c r="A231" s="880"/>
      <c r="B231" s="85" t="s">
        <v>320</v>
      </c>
      <c r="C231" s="98" t="s">
        <v>321</v>
      </c>
      <c r="D231" s="98" t="s">
        <v>325</v>
      </c>
      <c r="E231" s="109">
        <v>781475000</v>
      </c>
      <c r="F231" s="110">
        <v>0</v>
      </c>
      <c r="G231" s="124" t="s">
        <v>68</v>
      </c>
    </row>
    <row r="232" spans="1:7" ht="50.1" customHeight="1" x14ac:dyDescent="0.25">
      <c r="A232" s="879" t="s">
        <v>131</v>
      </c>
      <c r="B232" s="85" t="s">
        <v>312</v>
      </c>
      <c r="C232" s="98" t="s">
        <v>313</v>
      </c>
      <c r="D232" s="98" t="s">
        <v>323</v>
      </c>
      <c r="E232" s="109">
        <v>1690702000</v>
      </c>
      <c r="F232" s="110">
        <v>0</v>
      </c>
      <c r="G232" s="140" t="s">
        <v>341</v>
      </c>
    </row>
    <row r="233" spans="1:7" ht="50.1" customHeight="1" x14ac:dyDescent="0.25">
      <c r="A233" s="880"/>
      <c r="B233" s="85" t="s">
        <v>316</v>
      </c>
      <c r="C233" s="98" t="s">
        <v>317</v>
      </c>
      <c r="D233" s="98" t="s">
        <v>324</v>
      </c>
      <c r="E233" s="109">
        <v>273987000</v>
      </c>
      <c r="F233" s="110">
        <v>0</v>
      </c>
      <c r="G233" s="141" t="s">
        <v>497</v>
      </c>
    </row>
    <row r="234" spans="1:7" ht="50.1" customHeight="1" x14ac:dyDescent="0.25">
      <c r="A234" s="880"/>
      <c r="B234" s="85" t="s">
        <v>320</v>
      </c>
      <c r="C234" s="98" t="s">
        <v>321</v>
      </c>
      <c r="D234" s="98" t="s">
        <v>325</v>
      </c>
      <c r="E234" s="109">
        <v>781475000</v>
      </c>
      <c r="F234" s="110">
        <v>0</v>
      </c>
      <c r="G234" s="141" t="s">
        <v>498</v>
      </c>
    </row>
    <row r="235" spans="1:7" ht="50.1" customHeight="1" x14ac:dyDescent="0.25">
      <c r="A235" s="879" t="s">
        <v>132</v>
      </c>
      <c r="B235" s="85" t="s">
        <v>312</v>
      </c>
      <c r="C235" s="98" t="s">
        <v>313</v>
      </c>
      <c r="D235" s="98" t="s">
        <v>323</v>
      </c>
      <c r="E235" s="109">
        <v>1690702000</v>
      </c>
      <c r="F235" s="142">
        <v>7000000</v>
      </c>
      <c r="G235" s="140" t="s">
        <v>355</v>
      </c>
    </row>
    <row r="236" spans="1:7" ht="50.1" customHeight="1" x14ac:dyDescent="0.25">
      <c r="A236" s="880"/>
      <c r="B236" s="85" t="s">
        <v>316</v>
      </c>
      <c r="C236" s="98" t="s">
        <v>317</v>
      </c>
      <c r="D236" s="98" t="s">
        <v>324</v>
      </c>
      <c r="E236" s="109">
        <v>273987000</v>
      </c>
      <c r="F236" s="142">
        <v>6272966</v>
      </c>
      <c r="G236" s="141" t="s">
        <v>356</v>
      </c>
    </row>
    <row r="237" spans="1:7" ht="50.1" customHeight="1" x14ac:dyDescent="0.25">
      <c r="A237" s="880"/>
      <c r="B237" s="85" t="s">
        <v>320</v>
      </c>
      <c r="C237" s="98" t="s">
        <v>321</v>
      </c>
      <c r="D237" s="98" t="s">
        <v>325</v>
      </c>
      <c r="E237" s="109">
        <v>781475000</v>
      </c>
      <c r="F237" s="142">
        <v>18050767</v>
      </c>
      <c r="G237" s="141" t="s">
        <v>357</v>
      </c>
    </row>
    <row r="238" spans="1:7" ht="50.1" customHeight="1" x14ac:dyDescent="0.25">
      <c r="A238" s="879" t="s">
        <v>133</v>
      </c>
      <c r="B238" s="85" t="s">
        <v>312</v>
      </c>
      <c r="C238" s="98" t="s">
        <v>313</v>
      </c>
      <c r="D238" s="98" t="s">
        <v>323</v>
      </c>
      <c r="E238" s="103">
        <v>1690702000</v>
      </c>
      <c r="F238" s="101">
        <v>16134434</v>
      </c>
      <c r="G238" s="107" t="s">
        <v>355</v>
      </c>
    </row>
    <row r="239" spans="1:7" ht="50.1" customHeight="1" x14ac:dyDescent="0.25">
      <c r="A239" s="880"/>
      <c r="B239" s="85" t="s">
        <v>316</v>
      </c>
      <c r="C239" s="98" t="s">
        <v>317</v>
      </c>
      <c r="D239" s="98" t="s">
        <v>324</v>
      </c>
      <c r="E239" s="103">
        <v>273987000</v>
      </c>
      <c r="F239" s="101">
        <v>26209899</v>
      </c>
      <c r="G239" s="108" t="s">
        <v>356</v>
      </c>
    </row>
    <row r="240" spans="1:7" ht="50.1" customHeight="1" x14ac:dyDescent="0.25">
      <c r="A240" s="880"/>
      <c r="B240" s="85" t="s">
        <v>320</v>
      </c>
      <c r="C240" s="98" t="s">
        <v>321</v>
      </c>
      <c r="D240" s="98" t="s">
        <v>325</v>
      </c>
      <c r="E240" s="103">
        <v>781475000</v>
      </c>
      <c r="F240" s="101">
        <v>81267800</v>
      </c>
      <c r="G240" s="108" t="s">
        <v>357</v>
      </c>
    </row>
    <row r="241" spans="1:7" ht="50.1" customHeight="1" x14ac:dyDescent="0.25">
      <c r="A241" s="879" t="s">
        <v>134</v>
      </c>
      <c r="B241" s="85" t="s">
        <v>312</v>
      </c>
      <c r="C241" s="98" t="s">
        <v>313</v>
      </c>
      <c r="D241" s="98" t="s">
        <v>323</v>
      </c>
      <c r="E241" s="103">
        <v>1690702000</v>
      </c>
      <c r="F241" s="101">
        <v>110060933</v>
      </c>
      <c r="G241" s="107" t="s">
        <v>499</v>
      </c>
    </row>
    <row r="242" spans="1:7" ht="50.1" customHeight="1" x14ac:dyDescent="0.25">
      <c r="A242" s="880"/>
      <c r="B242" s="85" t="s">
        <v>316</v>
      </c>
      <c r="C242" s="98" t="s">
        <v>317</v>
      </c>
      <c r="D242" s="98" t="s">
        <v>324</v>
      </c>
      <c r="E242" s="103">
        <v>272910200</v>
      </c>
      <c r="F242" s="101">
        <v>47577899</v>
      </c>
      <c r="G242" s="108" t="s">
        <v>342</v>
      </c>
    </row>
    <row r="243" spans="1:7" ht="50.1" customHeight="1" x14ac:dyDescent="0.25">
      <c r="A243" s="880"/>
      <c r="B243" s="85" t="s">
        <v>320</v>
      </c>
      <c r="C243" s="98" t="s">
        <v>321</v>
      </c>
      <c r="D243" s="98" t="s">
        <v>325</v>
      </c>
      <c r="E243" s="103">
        <v>782551800</v>
      </c>
      <c r="F243" s="101">
        <v>173526567</v>
      </c>
      <c r="G243" s="108" t="s">
        <v>343</v>
      </c>
    </row>
    <row r="244" spans="1:7" ht="50.1" customHeight="1" x14ac:dyDescent="0.25">
      <c r="A244" s="879" t="s">
        <v>135</v>
      </c>
      <c r="B244" s="85" t="s">
        <v>312</v>
      </c>
      <c r="C244" s="98" t="s">
        <v>313</v>
      </c>
      <c r="D244" s="98" t="s">
        <v>323</v>
      </c>
      <c r="E244" s="103">
        <v>1690702000</v>
      </c>
      <c r="F244" s="101">
        <v>266541467</v>
      </c>
      <c r="G244" s="107" t="s">
        <v>344</v>
      </c>
    </row>
    <row r="245" spans="1:7" ht="50.1" customHeight="1" x14ac:dyDescent="0.25">
      <c r="A245" s="880"/>
      <c r="B245" s="85" t="s">
        <v>316</v>
      </c>
      <c r="C245" s="98" t="s">
        <v>317</v>
      </c>
      <c r="D245" s="98" t="s">
        <v>324</v>
      </c>
      <c r="E245" s="103">
        <v>272910200</v>
      </c>
      <c r="F245" s="101">
        <v>79123899</v>
      </c>
      <c r="G245" s="108" t="s">
        <v>345</v>
      </c>
    </row>
    <row r="246" spans="1:7" ht="50.1" customHeight="1" x14ac:dyDescent="0.25">
      <c r="A246" s="880"/>
      <c r="B246" s="85" t="s">
        <v>320</v>
      </c>
      <c r="C246" s="98" t="s">
        <v>321</v>
      </c>
      <c r="D246" s="98" t="s">
        <v>325</v>
      </c>
      <c r="E246" s="103">
        <v>782551800</v>
      </c>
      <c r="F246" s="101">
        <v>261157367</v>
      </c>
      <c r="G246" s="108" t="s">
        <v>346</v>
      </c>
    </row>
    <row r="247" spans="1:7" ht="50.1" customHeight="1" x14ac:dyDescent="0.25">
      <c r="A247" s="879" t="s">
        <v>124</v>
      </c>
      <c r="B247" s="85" t="s">
        <v>312</v>
      </c>
      <c r="C247" s="98" t="s">
        <v>313</v>
      </c>
      <c r="D247" s="98" t="s">
        <v>323</v>
      </c>
      <c r="E247" s="103">
        <v>1690702000</v>
      </c>
      <c r="F247" s="100">
        <v>428881733</v>
      </c>
      <c r="G247" s="111" t="s">
        <v>500</v>
      </c>
    </row>
    <row r="248" spans="1:7" ht="50.1" customHeight="1" x14ac:dyDescent="0.25">
      <c r="A248" s="880"/>
      <c r="B248" s="85" t="s">
        <v>316</v>
      </c>
      <c r="C248" s="98" t="s">
        <v>317</v>
      </c>
      <c r="D248" s="98" t="s">
        <v>324</v>
      </c>
      <c r="E248" s="103">
        <v>272910200</v>
      </c>
      <c r="F248" s="100">
        <v>108552232</v>
      </c>
      <c r="G248" s="111" t="s">
        <v>347</v>
      </c>
    </row>
    <row r="249" spans="1:7" ht="50.1" customHeight="1" x14ac:dyDescent="0.25">
      <c r="A249" s="880"/>
      <c r="B249" s="85" t="s">
        <v>320</v>
      </c>
      <c r="C249" s="98" t="s">
        <v>321</v>
      </c>
      <c r="D249" s="98" t="s">
        <v>325</v>
      </c>
      <c r="E249" s="103">
        <v>782551800</v>
      </c>
      <c r="F249" s="100">
        <v>347711367</v>
      </c>
      <c r="G249" s="111" t="s">
        <v>348</v>
      </c>
    </row>
    <row r="250" spans="1:7" ht="50.1" customHeight="1" x14ac:dyDescent="0.25">
      <c r="A250" s="879" t="s">
        <v>125</v>
      </c>
      <c r="B250" s="85" t="s">
        <v>312</v>
      </c>
      <c r="C250" s="98" t="s">
        <v>313</v>
      </c>
      <c r="D250" s="98" t="s">
        <v>323</v>
      </c>
      <c r="E250" s="103">
        <v>1617149766</v>
      </c>
      <c r="F250" s="101">
        <v>589707187</v>
      </c>
      <c r="G250" s="107" t="s">
        <v>501</v>
      </c>
    </row>
    <row r="251" spans="1:7" ht="50.1" customHeight="1" x14ac:dyDescent="0.25">
      <c r="A251" s="880"/>
      <c r="B251" s="85" t="s">
        <v>316</v>
      </c>
      <c r="C251" s="98" t="s">
        <v>317</v>
      </c>
      <c r="D251" s="98" t="s">
        <v>324</v>
      </c>
      <c r="E251" s="103">
        <v>288919200</v>
      </c>
      <c r="F251" s="101">
        <v>138644232</v>
      </c>
      <c r="G251" s="108" t="s">
        <v>502</v>
      </c>
    </row>
    <row r="252" spans="1:7" ht="50.1" customHeight="1" x14ac:dyDescent="0.25">
      <c r="A252" s="880"/>
      <c r="B252" s="85" t="s">
        <v>320</v>
      </c>
      <c r="C252" s="98" t="s">
        <v>321</v>
      </c>
      <c r="D252" s="98" t="s">
        <v>325</v>
      </c>
      <c r="E252" s="103">
        <v>840095034</v>
      </c>
      <c r="F252" s="101">
        <v>434265367</v>
      </c>
      <c r="G252" s="108" t="s">
        <v>358</v>
      </c>
    </row>
    <row r="253" spans="1:7" ht="50.1" customHeight="1" x14ac:dyDescent="0.25">
      <c r="A253" s="880" t="s">
        <v>126</v>
      </c>
      <c r="B253" s="85" t="s">
        <v>312</v>
      </c>
      <c r="C253" s="98" t="s">
        <v>313</v>
      </c>
      <c r="D253" s="98" t="s">
        <v>323</v>
      </c>
      <c r="E253" s="103">
        <v>1594149766</v>
      </c>
      <c r="F253" s="101">
        <v>743141399</v>
      </c>
      <c r="G253" s="108" t="s">
        <v>359</v>
      </c>
    </row>
    <row r="254" spans="1:7" ht="50.1" customHeight="1" x14ac:dyDescent="0.25">
      <c r="A254" s="880"/>
      <c r="B254" s="85" t="s">
        <v>316</v>
      </c>
      <c r="C254" s="98" t="s">
        <v>317</v>
      </c>
      <c r="D254" s="98" t="s">
        <v>324</v>
      </c>
      <c r="E254" s="103">
        <v>305050767</v>
      </c>
      <c r="F254" s="101">
        <v>168736232</v>
      </c>
      <c r="G254" s="108" t="s">
        <v>360</v>
      </c>
    </row>
    <row r="255" spans="1:7" ht="50.1" customHeight="1" x14ac:dyDescent="0.25">
      <c r="A255" s="905"/>
      <c r="B255" s="85" t="s">
        <v>320</v>
      </c>
      <c r="C255" s="98" t="s">
        <v>321</v>
      </c>
      <c r="D255" s="98" t="s">
        <v>325</v>
      </c>
      <c r="E255" s="103">
        <v>870463467</v>
      </c>
      <c r="F255" s="101">
        <v>520819367</v>
      </c>
      <c r="G255" s="108" t="s">
        <v>361</v>
      </c>
    </row>
    <row r="256" spans="1:7" ht="50.1" customHeight="1" x14ac:dyDescent="0.25">
      <c r="A256" s="881" t="s">
        <v>127</v>
      </c>
      <c r="B256" s="85" t="s">
        <v>312</v>
      </c>
      <c r="C256" s="98" t="s">
        <v>313</v>
      </c>
      <c r="D256" s="98" t="s">
        <v>323</v>
      </c>
      <c r="E256" s="103">
        <v>1594149766</v>
      </c>
      <c r="F256" s="101">
        <v>913447381</v>
      </c>
      <c r="G256" s="108" t="s">
        <v>349</v>
      </c>
    </row>
    <row r="257" spans="1:7" ht="50.1" customHeight="1" x14ac:dyDescent="0.25">
      <c r="A257" s="881"/>
      <c r="B257" s="85" t="s">
        <v>316</v>
      </c>
      <c r="C257" s="98" t="s">
        <v>317</v>
      </c>
      <c r="D257" s="98" t="s">
        <v>324</v>
      </c>
      <c r="E257" s="103">
        <v>305050767</v>
      </c>
      <c r="F257" s="101">
        <v>198828232</v>
      </c>
      <c r="G257" s="108" t="s">
        <v>350</v>
      </c>
    </row>
    <row r="258" spans="1:7" ht="50.1" customHeight="1" x14ac:dyDescent="0.25">
      <c r="A258" s="881"/>
      <c r="B258" s="85" t="s">
        <v>320</v>
      </c>
      <c r="C258" s="98" t="s">
        <v>321</v>
      </c>
      <c r="D258" s="98" t="s">
        <v>325</v>
      </c>
      <c r="E258" s="103">
        <v>870463467</v>
      </c>
      <c r="F258" s="101">
        <v>607373367</v>
      </c>
      <c r="G258" s="108" t="s">
        <v>351</v>
      </c>
    </row>
    <row r="259" spans="1:7" ht="50.1" customHeight="1" x14ac:dyDescent="0.25">
      <c r="A259" s="886" t="s">
        <v>128</v>
      </c>
      <c r="B259" s="85" t="s">
        <v>312</v>
      </c>
      <c r="C259" s="98" t="s">
        <v>313</v>
      </c>
      <c r="D259" s="98" t="s">
        <v>323</v>
      </c>
      <c r="E259" s="103">
        <v>1595517499</v>
      </c>
      <c r="F259" s="101">
        <v>1123791527</v>
      </c>
      <c r="G259" s="108" t="s">
        <v>352</v>
      </c>
    </row>
    <row r="260" spans="1:7" ht="50.1" customHeight="1" x14ac:dyDescent="0.25">
      <c r="A260" s="887"/>
      <c r="B260" s="85" t="s">
        <v>316</v>
      </c>
      <c r="C260" s="98" t="s">
        <v>317</v>
      </c>
      <c r="D260" s="98" t="s">
        <v>324</v>
      </c>
      <c r="E260" s="103">
        <v>302244081</v>
      </c>
      <c r="F260" s="101">
        <v>228920232</v>
      </c>
      <c r="G260" s="108" t="s">
        <v>353</v>
      </c>
    </row>
    <row r="261" spans="1:7" ht="50.1" customHeight="1" x14ac:dyDescent="0.25">
      <c r="A261" s="888"/>
      <c r="B261" s="85" t="s">
        <v>320</v>
      </c>
      <c r="C261" s="98" t="s">
        <v>321</v>
      </c>
      <c r="D261" s="98" t="s">
        <v>325</v>
      </c>
      <c r="E261" s="103">
        <v>871902420</v>
      </c>
      <c r="F261" s="101">
        <v>693927367</v>
      </c>
      <c r="G261" s="108" t="s">
        <v>354</v>
      </c>
    </row>
    <row r="262" spans="1:7" ht="50.1" customHeight="1" x14ac:dyDescent="0.25">
      <c r="A262" s="881" t="s">
        <v>129</v>
      </c>
      <c r="B262" s="85" t="s">
        <v>312</v>
      </c>
      <c r="C262" s="98" t="s">
        <v>313</v>
      </c>
      <c r="D262" s="98" t="s">
        <v>323</v>
      </c>
      <c r="E262" s="103">
        <v>1595517499</v>
      </c>
      <c r="F262" s="101">
        <v>1364194746</v>
      </c>
      <c r="G262" s="107" t="s">
        <v>362</v>
      </c>
    </row>
    <row r="263" spans="1:7" ht="50.1" customHeight="1" x14ac:dyDescent="0.25">
      <c r="A263" s="881"/>
      <c r="B263" s="85" t="s">
        <v>316</v>
      </c>
      <c r="C263" s="98" t="s">
        <v>317</v>
      </c>
      <c r="D263" s="98" t="s">
        <v>324</v>
      </c>
      <c r="E263" s="103">
        <v>302244081</v>
      </c>
      <c r="F263" s="101">
        <v>272590201</v>
      </c>
      <c r="G263" s="108" t="s">
        <v>363</v>
      </c>
    </row>
    <row r="264" spans="1:7" ht="50.1" customHeight="1" x14ac:dyDescent="0.25">
      <c r="A264" s="881"/>
      <c r="B264" s="85" t="s">
        <v>320</v>
      </c>
      <c r="C264" s="98" t="s">
        <v>321</v>
      </c>
      <c r="D264" s="98" t="s">
        <v>325</v>
      </c>
      <c r="E264" s="103">
        <v>871902420</v>
      </c>
      <c r="F264" s="101">
        <v>834953267</v>
      </c>
      <c r="G264" s="108" t="s">
        <v>364</v>
      </c>
    </row>
    <row r="266" spans="1:7" ht="15.75" thickBot="1" x14ac:dyDescent="0.3"/>
    <row r="267" spans="1:7" ht="26.25" customHeight="1" x14ac:dyDescent="0.25">
      <c r="A267" s="883" t="s">
        <v>326</v>
      </c>
      <c r="B267" s="884"/>
      <c r="C267" s="884"/>
      <c r="D267" s="884"/>
      <c r="E267" s="884"/>
      <c r="F267" s="884"/>
      <c r="G267" s="885"/>
    </row>
    <row r="268" spans="1:7" ht="54" customHeight="1" thickBot="1" x14ac:dyDescent="0.3">
      <c r="A268" s="26" t="s">
        <v>61</v>
      </c>
      <c r="B268" s="35" t="s">
        <v>137</v>
      </c>
      <c r="C268" s="35" t="s">
        <v>138</v>
      </c>
      <c r="D268" s="35" t="s">
        <v>155</v>
      </c>
      <c r="E268" s="35" t="s">
        <v>157</v>
      </c>
      <c r="F268" s="35" t="s">
        <v>158</v>
      </c>
      <c r="G268" s="36" t="s">
        <v>156</v>
      </c>
    </row>
    <row r="269" spans="1:7" ht="25.35" customHeight="1" x14ac:dyDescent="0.25">
      <c r="A269" s="879" t="s">
        <v>130</v>
      </c>
      <c r="B269" s="85" t="s">
        <v>312</v>
      </c>
      <c r="C269" s="98" t="s">
        <v>313</v>
      </c>
      <c r="D269" s="98" t="s">
        <v>323</v>
      </c>
      <c r="E269" s="109">
        <f>+[9]INVERSIÓN!CE11</f>
        <v>2862778000</v>
      </c>
      <c r="F269" s="110">
        <v>0</v>
      </c>
      <c r="G269" s="124" t="s">
        <v>68</v>
      </c>
    </row>
    <row r="270" spans="1:7" ht="25.35" customHeight="1" x14ac:dyDescent="0.25">
      <c r="A270" s="880"/>
      <c r="B270" s="85" t="s">
        <v>316</v>
      </c>
      <c r="C270" s="98" t="s">
        <v>317</v>
      </c>
      <c r="D270" s="98" t="s">
        <v>324</v>
      </c>
      <c r="E270" s="109">
        <f>+[9]INVERSIÓN!CE18</f>
        <v>701370000</v>
      </c>
      <c r="F270" s="110">
        <v>0</v>
      </c>
      <c r="G270" s="124" t="s">
        <v>68</v>
      </c>
    </row>
    <row r="271" spans="1:7" ht="25.35" customHeight="1" x14ac:dyDescent="0.25">
      <c r="A271" s="880"/>
      <c r="B271" s="85" t="s">
        <v>320</v>
      </c>
      <c r="C271" s="98" t="s">
        <v>321</v>
      </c>
      <c r="D271" s="98" t="s">
        <v>325</v>
      </c>
      <c r="E271" s="109">
        <f>+[9]INVERSIÓN!CE25</f>
        <v>841040000</v>
      </c>
      <c r="F271" s="110">
        <v>0</v>
      </c>
      <c r="G271" s="124" t="s">
        <v>68</v>
      </c>
    </row>
    <row r="272" spans="1:7" ht="25.35" customHeight="1" x14ac:dyDescent="0.25">
      <c r="A272" s="879" t="s">
        <v>131</v>
      </c>
      <c r="B272" s="85" t="s">
        <v>312</v>
      </c>
      <c r="C272" s="98" t="s">
        <v>313</v>
      </c>
      <c r="D272" s="98" t="s">
        <v>323</v>
      </c>
      <c r="E272" s="109">
        <f>+[5]INVERSIÓN!CE11</f>
        <v>2902459000</v>
      </c>
      <c r="F272" s="109">
        <f>+[5]INVERSIÓN!CI12</f>
        <v>28673467</v>
      </c>
      <c r="G272" s="124" t="s">
        <v>68</v>
      </c>
    </row>
    <row r="273" spans="1:7" ht="25.35" customHeight="1" x14ac:dyDescent="0.25">
      <c r="A273" s="880"/>
      <c r="B273" s="85" t="s">
        <v>316</v>
      </c>
      <c r="C273" s="98" t="s">
        <v>317</v>
      </c>
      <c r="D273" s="98" t="s">
        <v>324</v>
      </c>
      <c r="E273" s="109">
        <f>+[5]INVERSIÓN!CE18</f>
        <v>661689000</v>
      </c>
      <c r="F273" s="109">
        <f>+[5]INVERSIÓN!CI19</f>
        <v>1624800</v>
      </c>
      <c r="G273" s="124" t="s">
        <v>68</v>
      </c>
    </row>
    <row r="274" spans="1:7" ht="25.35" customHeight="1" x14ac:dyDescent="0.25">
      <c r="A274" s="880"/>
      <c r="B274" s="85" t="s">
        <v>320</v>
      </c>
      <c r="C274" s="98" t="s">
        <v>321</v>
      </c>
      <c r="D274" s="98" t="s">
        <v>325</v>
      </c>
      <c r="E274" s="109">
        <f>+[5]INVERSIÓN!CE25</f>
        <v>841040000</v>
      </c>
      <c r="F274" s="109">
        <f>+[5]INVERSIÓN!CI26</f>
        <v>21140800</v>
      </c>
      <c r="G274" s="124" t="s">
        <v>68</v>
      </c>
    </row>
    <row r="275" spans="1:7" ht="25.35" customHeight="1" x14ac:dyDescent="0.25">
      <c r="A275" s="879" t="s">
        <v>132</v>
      </c>
      <c r="B275" s="85" t="s">
        <v>312</v>
      </c>
      <c r="C275" s="98" t="s">
        <v>313</v>
      </c>
      <c r="D275" s="98" t="s">
        <v>323</v>
      </c>
      <c r="E275" s="109">
        <f>+[6]INVERSIÓN!CE11</f>
        <v>2902459000</v>
      </c>
      <c r="F275" s="109">
        <f>+[6]INVERSIÓN!CI12</f>
        <v>289292000</v>
      </c>
      <c r="G275" s="124" t="s">
        <v>68</v>
      </c>
    </row>
    <row r="276" spans="1:7" ht="25.35" customHeight="1" x14ac:dyDescent="0.25">
      <c r="A276" s="880"/>
      <c r="B276" s="85" t="s">
        <v>316</v>
      </c>
      <c r="C276" s="98" t="s">
        <v>317</v>
      </c>
      <c r="D276" s="98" t="s">
        <v>324</v>
      </c>
      <c r="E276" s="109">
        <f>+[6]INVERSIÓN!CE18</f>
        <v>661689000</v>
      </c>
      <c r="F276" s="109">
        <f>+[6]INVERSIÓN!CI19</f>
        <v>21536900</v>
      </c>
      <c r="G276" s="124" t="s">
        <v>68</v>
      </c>
    </row>
    <row r="277" spans="1:7" ht="25.35" customHeight="1" x14ac:dyDescent="0.25">
      <c r="A277" s="880"/>
      <c r="B277" s="85" t="s">
        <v>320</v>
      </c>
      <c r="C277" s="98" t="s">
        <v>321</v>
      </c>
      <c r="D277" s="98" t="s">
        <v>325</v>
      </c>
      <c r="E277" s="109">
        <f>+[6]INVERSIÓN!CE25</f>
        <v>841040000</v>
      </c>
      <c r="F277" s="109">
        <f>+[6]INVERSIÓN!CI26</f>
        <v>108731200</v>
      </c>
      <c r="G277" s="124" t="s">
        <v>68</v>
      </c>
    </row>
    <row r="278" spans="1:7" ht="25.35" customHeight="1" x14ac:dyDescent="0.25">
      <c r="A278" s="879" t="s">
        <v>133</v>
      </c>
      <c r="B278" s="85" t="s">
        <v>312</v>
      </c>
      <c r="C278" s="98" t="s">
        <v>313</v>
      </c>
      <c r="D278" s="98" t="s">
        <v>323</v>
      </c>
      <c r="E278" s="109">
        <v>2902459000</v>
      </c>
      <c r="F278" s="109">
        <v>550123000</v>
      </c>
      <c r="G278" s="124" t="s">
        <v>68</v>
      </c>
    </row>
    <row r="279" spans="1:7" ht="25.35" customHeight="1" x14ac:dyDescent="0.25">
      <c r="A279" s="880"/>
      <c r="B279" s="85" t="s">
        <v>316</v>
      </c>
      <c r="C279" s="98" t="s">
        <v>317</v>
      </c>
      <c r="D279" s="98" t="s">
        <v>324</v>
      </c>
      <c r="E279" s="109">
        <v>661689000</v>
      </c>
      <c r="F279" s="109">
        <v>46883100</v>
      </c>
      <c r="G279" s="124" t="s">
        <v>68</v>
      </c>
    </row>
    <row r="280" spans="1:7" ht="25.35" customHeight="1" x14ac:dyDescent="0.25">
      <c r="A280" s="880"/>
      <c r="B280" s="85" t="s">
        <v>320</v>
      </c>
      <c r="C280" s="98" t="s">
        <v>321</v>
      </c>
      <c r="D280" s="98" t="s">
        <v>325</v>
      </c>
      <c r="E280" s="109">
        <v>841040000</v>
      </c>
      <c r="F280" s="109">
        <v>195013200</v>
      </c>
      <c r="G280" s="124" t="s">
        <v>68</v>
      </c>
    </row>
    <row r="281" spans="1:7" ht="25.35" customHeight="1" x14ac:dyDescent="0.25">
      <c r="A281" s="879" t="s">
        <v>134</v>
      </c>
      <c r="B281" s="85" t="s">
        <v>312</v>
      </c>
      <c r="C281" s="98" t="s">
        <v>313</v>
      </c>
      <c r="D281" s="98" t="s">
        <v>323</v>
      </c>
      <c r="E281" s="109">
        <v>2902459000</v>
      </c>
      <c r="F281" s="109">
        <v>812762900</v>
      </c>
      <c r="G281" s="124" t="s">
        <v>68</v>
      </c>
    </row>
    <row r="282" spans="1:7" ht="25.35" customHeight="1" x14ac:dyDescent="0.25">
      <c r="A282" s="880"/>
      <c r="B282" s="85" t="s">
        <v>316</v>
      </c>
      <c r="C282" s="98" t="s">
        <v>317</v>
      </c>
      <c r="D282" s="98" t="s">
        <v>324</v>
      </c>
      <c r="E282" s="109">
        <v>661689000</v>
      </c>
      <c r="F282" s="109">
        <v>70314100</v>
      </c>
      <c r="G282" s="124" t="s">
        <v>68</v>
      </c>
    </row>
    <row r="283" spans="1:7" ht="25.35" customHeight="1" x14ac:dyDescent="0.25">
      <c r="A283" s="880"/>
      <c r="B283" s="85" t="s">
        <v>320</v>
      </c>
      <c r="C283" s="98" t="s">
        <v>321</v>
      </c>
      <c r="D283" s="98" t="s">
        <v>325</v>
      </c>
      <c r="E283" s="109">
        <v>841040000</v>
      </c>
      <c r="F283" s="109">
        <v>281295200</v>
      </c>
      <c r="G283" s="124" t="s">
        <v>68</v>
      </c>
    </row>
    <row r="284" spans="1:7" ht="25.35" customHeight="1" x14ac:dyDescent="0.25">
      <c r="A284" s="879" t="s">
        <v>135</v>
      </c>
      <c r="B284" s="85" t="s">
        <v>312</v>
      </c>
      <c r="C284" s="98" t="s">
        <v>313</v>
      </c>
      <c r="D284" s="98" t="s">
        <v>323</v>
      </c>
      <c r="E284" s="109">
        <v>2902459000</v>
      </c>
      <c r="F284" s="109">
        <v>1047252900</v>
      </c>
      <c r="G284" s="171" t="s">
        <v>68</v>
      </c>
    </row>
    <row r="285" spans="1:7" ht="25.35" customHeight="1" x14ac:dyDescent="0.25">
      <c r="A285" s="880"/>
      <c r="B285" s="85" t="s">
        <v>316</v>
      </c>
      <c r="C285" s="98" t="s">
        <v>317</v>
      </c>
      <c r="D285" s="98" t="s">
        <v>324</v>
      </c>
      <c r="E285" s="109">
        <v>661689000</v>
      </c>
      <c r="F285" s="109">
        <v>96937100</v>
      </c>
      <c r="G285" s="171" t="s">
        <v>68</v>
      </c>
    </row>
    <row r="286" spans="1:7" ht="25.35" customHeight="1" x14ac:dyDescent="0.25">
      <c r="A286" s="880"/>
      <c r="B286" s="85" t="s">
        <v>320</v>
      </c>
      <c r="C286" s="98" t="s">
        <v>321</v>
      </c>
      <c r="D286" s="98" t="s">
        <v>325</v>
      </c>
      <c r="E286" s="109">
        <v>841040000</v>
      </c>
      <c r="F286" s="109">
        <v>1047252900</v>
      </c>
      <c r="G286" s="171" t="s">
        <v>68</v>
      </c>
    </row>
    <row r="287" spans="1:7" ht="25.35" customHeight="1" x14ac:dyDescent="0.25">
      <c r="A287" s="879" t="s">
        <v>124</v>
      </c>
      <c r="B287" s="85" t="s">
        <v>312</v>
      </c>
      <c r="C287" s="98" t="s">
        <v>313</v>
      </c>
      <c r="D287" s="98" t="s">
        <v>323</v>
      </c>
      <c r="E287" s="109">
        <v>2902459000</v>
      </c>
      <c r="F287" s="172">
        <v>1305708067</v>
      </c>
      <c r="G287" s="171" t="s">
        <v>68</v>
      </c>
    </row>
    <row r="288" spans="1:7" ht="25.35" customHeight="1" x14ac:dyDescent="0.25">
      <c r="A288" s="880"/>
      <c r="B288" s="85" t="s">
        <v>316</v>
      </c>
      <c r="C288" s="98" t="s">
        <v>317</v>
      </c>
      <c r="D288" s="98" t="s">
        <v>324</v>
      </c>
      <c r="E288" s="109">
        <v>661689000</v>
      </c>
      <c r="F288" s="109">
        <v>120368100</v>
      </c>
      <c r="G288" s="171" t="s">
        <v>68</v>
      </c>
    </row>
    <row r="289" spans="1:7" ht="25.35" customHeight="1" x14ac:dyDescent="0.25">
      <c r="A289" s="880"/>
      <c r="B289" s="85" t="s">
        <v>320</v>
      </c>
      <c r="C289" s="98" t="s">
        <v>321</v>
      </c>
      <c r="D289" s="98" t="s">
        <v>325</v>
      </c>
      <c r="E289" s="109">
        <v>841040000</v>
      </c>
      <c r="F289" s="109">
        <v>453859200</v>
      </c>
      <c r="G289" s="171" t="s">
        <v>68</v>
      </c>
    </row>
    <row r="290" spans="1:7" ht="25.35" customHeight="1" x14ac:dyDescent="0.25">
      <c r="A290" s="881" t="s">
        <v>125</v>
      </c>
      <c r="B290" s="85" t="s">
        <v>312</v>
      </c>
      <c r="C290" s="98" t="s">
        <v>313</v>
      </c>
      <c r="D290" s="98" t="s">
        <v>323</v>
      </c>
      <c r="E290" s="172">
        <v>3177527833</v>
      </c>
      <c r="F290" s="172">
        <v>1537336845</v>
      </c>
      <c r="G290" s="171" t="s">
        <v>68</v>
      </c>
    </row>
    <row r="291" spans="1:7" ht="25.35" customHeight="1" x14ac:dyDescent="0.25">
      <c r="A291" s="881"/>
      <c r="B291" s="85" t="s">
        <v>316</v>
      </c>
      <c r="C291" s="98" t="s">
        <v>317</v>
      </c>
      <c r="D291" s="98" t="s">
        <v>324</v>
      </c>
      <c r="E291" s="172">
        <v>248275100</v>
      </c>
      <c r="F291" s="172">
        <v>146991100</v>
      </c>
      <c r="G291" s="171" t="s">
        <v>68</v>
      </c>
    </row>
    <row r="292" spans="1:7" ht="25.35" customHeight="1" x14ac:dyDescent="0.25">
      <c r="A292" s="881"/>
      <c r="B292" s="85" t="s">
        <v>320</v>
      </c>
      <c r="C292" s="98" t="s">
        <v>321</v>
      </c>
      <c r="D292" s="98" t="s">
        <v>325</v>
      </c>
      <c r="E292" s="172">
        <v>979385067</v>
      </c>
      <c r="F292" s="172">
        <v>540141200</v>
      </c>
      <c r="G292" s="171" t="s">
        <v>68</v>
      </c>
    </row>
    <row r="293" spans="1:7" ht="25.35" customHeight="1" x14ac:dyDescent="0.25">
      <c r="A293" s="880" t="s">
        <v>126</v>
      </c>
      <c r="B293" s="85" t="s">
        <v>312</v>
      </c>
      <c r="C293" s="98" t="s">
        <v>313</v>
      </c>
      <c r="D293" s="98" t="s">
        <v>323</v>
      </c>
      <c r="E293" s="172">
        <v>3174525535</v>
      </c>
      <c r="F293" s="172">
        <v>1815229479</v>
      </c>
      <c r="G293" s="171" t="s">
        <v>68</v>
      </c>
    </row>
    <row r="294" spans="1:7" ht="25.35" customHeight="1" x14ac:dyDescent="0.25">
      <c r="A294" s="880"/>
      <c r="B294" s="85" t="s">
        <v>316</v>
      </c>
      <c r="C294" s="98" t="s">
        <v>317</v>
      </c>
      <c r="D294" s="98" t="s">
        <v>324</v>
      </c>
      <c r="E294" s="172">
        <v>248232200</v>
      </c>
      <c r="F294" s="172">
        <v>172018100</v>
      </c>
      <c r="G294" s="171" t="s">
        <v>68</v>
      </c>
    </row>
    <row r="295" spans="1:7" ht="25.35" customHeight="1" x14ac:dyDescent="0.25">
      <c r="A295" s="905"/>
      <c r="B295" s="85" t="s">
        <v>320</v>
      </c>
      <c r="C295" s="98" t="s">
        <v>321</v>
      </c>
      <c r="D295" s="98" t="s">
        <v>325</v>
      </c>
      <c r="E295" s="172">
        <v>982430265</v>
      </c>
      <c r="F295" s="172">
        <v>626423200</v>
      </c>
      <c r="G295" s="171" t="s">
        <v>68</v>
      </c>
    </row>
    <row r="296" spans="1:7" ht="25.35" customHeight="1" x14ac:dyDescent="0.25">
      <c r="A296" s="881" t="s">
        <v>127</v>
      </c>
      <c r="B296" s="85" t="s">
        <v>312</v>
      </c>
      <c r="C296" s="98" t="s">
        <v>313</v>
      </c>
      <c r="D296" s="98" t="s">
        <v>323</v>
      </c>
      <c r="E296" s="172">
        <v>3174525535</v>
      </c>
      <c r="F296" s="172">
        <v>2068359704</v>
      </c>
      <c r="G296" s="171" t="s">
        <v>68</v>
      </c>
    </row>
    <row r="297" spans="1:7" ht="25.35" customHeight="1" x14ac:dyDescent="0.25">
      <c r="A297" s="881"/>
      <c r="B297" s="85" t="s">
        <v>316</v>
      </c>
      <c r="C297" s="98" t="s">
        <v>317</v>
      </c>
      <c r="D297" s="98" t="s">
        <v>324</v>
      </c>
      <c r="E297" s="172">
        <v>248232200</v>
      </c>
      <c r="F297" s="172">
        <v>197045100</v>
      </c>
      <c r="G297" s="171" t="s">
        <v>68</v>
      </c>
    </row>
    <row r="298" spans="1:7" ht="25.35" customHeight="1" x14ac:dyDescent="0.25">
      <c r="A298" s="881"/>
      <c r="B298" s="85" t="s">
        <v>320</v>
      </c>
      <c r="C298" s="98" t="s">
        <v>321</v>
      </c>
      <c r="D298" s="98" t="s">
        <v>325</v>
      </c>
      <c r="E298" s="172">
        <v>982430265</v>
      </c>
      <c r="F298" s="172">
        <v>708308400</v>
      </c>
      <c r="G298" s="171" t="s">
        <v>68</v>
      </c>
    </row>
    <row r="299" spans="1:7" ht="25.35" customHeight="1" x14ac:dyDescent="0.25">
      <c r="A299" s="886" t="s">
        <v>128</v>
      </c>
      <c r="B299" s="85" t="s">
        <v>312</v>
      </c>
      <c r="C299" s="98" t="s">
        <v>313</v>
      </c>
      <c r="D299" s="98" t="s">
        <v>323</v>
      </c>
      <c r="E299" s="172">
        <f>+INVERSIÓN!CE11</f>
        <v>3187162300</v>
      </c>
      <c r="F299" s="172">
        <f>+INVERSIÓN!CI12</f>
        <v>2838873543</v>
      </c>
      <c r="G299" s="171" t="s">
        <v>68</v>
      </c>
    </row>
    <row r="300" spans="1:7" ht="25.35" customHeight="1" x14ac:dyDescent="0.25">
      <c r="A300" s="887"/>
      <c r="B300" s="85" t="s">
        <v>316</v>
      </c>
      <c r="C300" s="98" t="s">
        <v>317</v>
      </c>
      <c r="D300" s="98" t="s">
        <v>324</v>
      </c>
      <c r="E300" s="172">
        <f>+INVERSIÓN!CE18</f>
        <v>248232200</v>
      </c>
      <c r="F300" s="172">
        <f>+INVERSIÓN!CI19</f>
        <v>245949700</v>
      </c>
      <c r="G300" s="171" t="s">
        <v>68</v>
      </c>
    </row>
    <row r="301" spans="1:7" ht="25.35" customHeight="1" x14ac:dyDescent="0.25">
      <c r="A301" s="888"/>
      <c r="B301" s="85" t="s">
        <v>320</v>
      </c>
      <c r="C301" s="98" t="s">
        <v>321</v>
      </c>
      <c r="D301" s="98" t="s">
        <v>325</v>
      </c>
      <c r="E301" s="172">
        <f>+INVERSIÓN!CE25</f>
        <v>969793500</v>
      </c>
      <c r="F301" s="172">
        <f>+INVERSIÓN!CI26</f>
        <v>937299134</v>
      </c>
      <c r="G301" s="171" t="s">
        <v>68</v>
      </c>
    </row>
    <row r="302" spans="1:7" ht="25.35" customHeight="1" x14ac:dyDescent="0.25">
      <c r="A302" s="881" t="s">
        <v>129</v>
      </c>
      <c r="B302" s="85" t="s">
        <v>312</v>
      </c>
      <c r="C302" s="98" t="s">
        <v>313</v>
      </c>
      <c r="D302" s="98" t="s">
        <v>323</v>
      </c>
      <c r="E302" s="103">
        <v>3182486300</v>
      </c>
      <c r="F302" s="101">
        <v>2838873543</v>
      </c>
      <c r="G302" s="234" t="s">
        <v>68</v>
      </c>
    </row>
    <row r="303" spans="1:7" ht="25.35" customHeight="1" x14ac:dyDescent="0.25">
      <c r="A303" s="881"/>
      <c r="B303" s="85" t="s">
        <v>316</v>
      </c>
      <c r="C303" s="98" t="s">
        <v>317</v>
      </c>
      <c r="D303" s="98" t="s">
        <v>324</v>
      </c>
      <c r="E303" s="103">
        <v>248232200</v>
      </c>
      <c r="F303" s="101">
        <v>245949700</v>
      </c>
      <c r="G303" s="234" t="s">
        <v>68</v>
      </c>
    </row>
    <row r="304" spans="1:7" ht="25.35" customHeight="1" x14ac:dyDescent="0.25">
      <c r="A304" s="881"/>
      <c r="B304" s="85" t="s">
        <v>320</v>
      </c>
      <c r="C304" s="98" t="s">
        <v>321</v>
      </c>
      <c r="D304" s="98" t="s">
        <v>325</v>
      </c>
      <c r="E304" s="103">
        <v>974469500</v>
      </c>
      <c r="F304" s="101">
        <v>937299134</v>
      </c>
      <c r="G304" s="234" t="s">
        <v>68</v>
      </c>
    </row>
    <row r="305" spans="1:7" ht="25.35" customHeight="1" x14ac:dyDescent="0.25">
      <c r="A305" s="143"/>
      <c r="B305" s="186"/>
      <c r="C305" s="187"/>
      <c r="D305" s="187"/>
      <c r="E305" s="188"/>
      <c r="F305" s="189"/>
      <c r="G305" s="190"/>
    </row>
    <row r="306" spans="1:7" ht="25.35" customHeight="1" thickBot="1" x14ac:dyDescent="0.3">
      <c r="A306" s="143"/>
      <c r="B306" s="186"/>
      <c r="C306" s="187"/>
      <c r="D306" s="187"/>
      <c r="E306" s="188"/>
      <c r="F306" s="189"/>
      <c r="G306" s="190"/>
    </row>
    <row r="307" spans="1:7" ht="25.35" customHeight="1" x14ac:dyDescent="0.25">
      <c r="A307" s="883" t="s">
        <v>393</v>
      </c>
      <c r="B307" s="884"/>
      <c r="C307" s="884"/>
      <c r="D307" s="884"/>
      <c r="E307" s="884"/>
      <c r="F307" s="884"/>
      <c r="G307" s="885"/>
    </row>
    <row r="308" spans="1:7" ht="25.35" customHeight="1" thickBot="1" x14ac:dyDescent="0.3">
      <c r="A308" s="26" t="s">
        <v>62</v>
      </c>
      <c r="B308" s="35" t="s">
        <v>137</v>
      </c>
      <c r="C308" s="35" t="s">
        <v>138</v>
      </c>
      <c r="D308" s="35" t="s">
        <v>155</v>
      </c>
      <c r="E308" s="243" t="s">
        <v>394</v>
      </c>
      <c r="F308" s="243" t="s">
        <v>158</v>
      </c>
      <c r="G308" s="244" t="s">
        <v>156</v>
      </c>
    </row>
    <row r="309" spans="1:7" ht="24.95" customHeight="1" x14ac:dyDescent="0.25">
      <c r="A309" s="879" t="s">
        <v>130</v>
      </c>
      <c r="B309" s="85" t="s">
        <v>312</v>
      </c>
      <c r="C309" s="98" t="s">
        <v>313</v>
      </c>
      <c r="D309" s="98" t="s">
        <v>323</v>
      </c>
      <c r="E309" s="103">
        <v>3660055000</v>
      </c>
      <c r="F309" s="101">
        <v>2932750000</v>
      </c>
      <c r="G309" s="234" t="s">
        <v>68</v>
      </c>
    </row>
    <row r="310" spans="1:7" ht="24.95" customHeight="1" x14ac:dyDescent="0.25">
      <c r="A310" s="880"/>
      <c r="B310" s="85" t="s">
        <v>316</v>
      </c>
      <c r="C310" s="98" t="s">
        <v>317</v>
      </c>
      <c r="D310" s="98" t="s">
        <v>324</v>
      </c>
      <c r="E310" s="103">
        <v>194718000</v>
      </c>
      <c r="F310" s="101">
        <v>73116000</v>
      </c>
      <c r="G310" s="234" t="s">
        <v>68</v>
      </c>
    </row>
    <row r="311" spans="1:7" ht="24.95" customHeight="1" x14ac:dyDescent="0.25">
      <c r="A311" s="880"/>
      <c r="B311" s="85" t="s">
        <v>320</v>
      </c>
      <c r="C311" s="98" t="s">
        <v>321</v>
      </c>
      <c r="D311" s="98" t="s">
        <v>325</v>
      </c>
      <c r="E311" s="103">
        <v>551323000</v>
      </c>
      <c r="F311" s="101">
        <v>484579000</v>
      </c>
      <c r="G311" s="234" t="s">
        <v>68</v>
      </c>
    </row>
    <row r="312" spans="1:7" ht="24.95" customHeight="1" x14ac:dyDescent="0.25">
      <c r="A312" s="879" t="s">
        <v>131</v>
      </c>
      <c r="B312" s="85" t="s">
        <v>312</v>
      </c>
      <c r="C312" s="98" t="s">
        <v>313</v>
      </c>
      <c r="D312" s="98" t="s">
        <v>323</v>
      </c>
      <c r="E312" s="103">
        <v>3660055000</v>
      </c>
      <c r="F312" s="101">
        <v>2932750000</v>
      </c>
      <c r="G312" s="234" t="s">
        <v>68</v>
      </c>
    </row>
    <row r="313" spans="1:7" ht="24.95" customHeight="1" x14ac:dyDescent="0.25">
      <c r="A313" s="880"/>
      <c r="B313" s="85" t="s">
        <v>316</v>
      </c>
      <c r="C313" s="98" t="s">
        <v>317</v>
      </c>
      <c r="D313" s="98" t="s">
        <v>324</v>
      </c>
      <c r="E313" s="103">
        <v>194718000</v>
      </c>
      <c r="F313" s="101">
        <v>73116000</v>
      </c>
      <c r="G313" s="234" t="s">
        <v>68</v>
      </c>
    </row>
    <row r="314" spans="1:7" ht="24.95" customHeight="1" x14ac:dyDescent="0.25">
      <c r="A314" s="880"/>
      <c r="B314" s="85" t="s">
        <v>320</v>
      </c>
      <c r="C314" s="98" t="s">
        <v>321</v>
      </c>
      <c r="D314" s="98" t="s">
        <v>325</v>
      </c>
      <c r="E314" s="103">
        <v>551323000</v>
      </c>
      <c r="F314" s="101">
        <v>484579000</v>
      </c>
      <c r="G314" s="234" t="s">
        <v>68</v>
      </c>
    </row>
    <row r="315" spans="1:7" ht="24.95" customHeight="1" x14ac:dyDescent="0.25">
      <c r="A315" s="879" t="s">
        <v>132</v>
      </c>
      <c r="B315" s="85" t="s">
        <v>312</v>
      </c>
      <c r="C315" s="98" t="s">
        <v>313</v>
      </c>
      <c r="D315" s="98" t="s">
        <v>323</v>
      </c>
      <c r="E315" s="109">
        <v>3660055000</v>
      </c>
      <c r="F315" s="109">
        <v>3551356000</v>
      </c>
      <c r="G315" s="234" t="s">
        <v>68</v>
      </c>
    </row>
    <row r="316" spans="1:7" ht="24.95" customHeight="1" x14ac:dyDescent="0.25">
      <c r="A316" s="880"/>
      <c r="B316" s="85" t="s">
        <v>316</v>
      </c>
      <c r="C316" s="98" t="s">
        <v>317</v>
      </c>
      <c r="D316" s="98" t="s">
        <v>324</v>
      </c>
      <c r="E316" s="109">
        <v>194718000</v>
      </c>
      <c r="F316" s="109">
        <v>176268000</v>
      </c>
      <c r="G316" s="234" t="s">
        <v>68</v>
      </c>
    </row>
    <row r="317" spans="1:7" ht="24.95" customHeight="1" x14ac:dyDescent="0.25">
      <c r="A317" s="880"/>
      <c r="B317" s="85" t="s">
        <v>320</v>
      </c>
      <c r="C317" s="98" t="s">
        <v>321</v>
      </c>
      <c r="D317" s="98" t="s">
        <v>325</v>
      </c>
      <c r="E317" s="109">
        <v>548341000</v>
      </c>
      <c r="F317" s="109">
        <v>530281000</v>
      </c>
      <c r="G317" s="234" t="s">
        <v>68</v>
      </c>
    </row>
    <row r="318" spans="1:7" ht="24.95" customHeight="1" x14ac:dyDescent="0.25">
      <c r="A318" s="879" t="s">
        <v>133</v>
      </c>
      <c r="B318" s="85" t="s">
        <v>312</v>
      </c>
      <c r="C318" s="98" t="s">
        <v>313</v>
      </c>
      <c r="D318" s="98" t="s">
        <v>323</v>
      </c>
      <c r="E318" s="109">
        <v>3660055000</v>
      </c>
      <c r="F318" s="109">
        <v>3551356000</v>
      </c>
      <c r="G318" s="234" t="s">
        <v>68</v>
      </c>
    </row>
    <row r="319" spans="1:7" ht="24.95" customHeight="1" x14ac:dyDescent="0.25">
      <c r="A319" s="880"/>
      <c r="B319" s="85" t="s">
        <v>316</v>
      </c>
      <c r="C319" s="98" t="s">
        <v>317</v>
      </c>
      <c r="D319" s="98" t="s">
        <v>324</v>
      </c>
      <c r="E319" s="109">
        <v>194718000</v>
      </c>
      <c r="F319" s="109">
        <v>176268000</v>
      </c>
      <c r="G319" s="234" t="s">
        <v>68</v>
      </c>
    </row>
    <row r="320" spans="1:7" ht="24.95" customHeight="1" x14ac:dyDescent="0.25">
      <c r="A320" s="880"/>
      <c r="B320" s="85" t="s">
        <v>320</v>
      </c>
      <c r="C320" s="98" t="s">
        <v>321</v>
      </c>
      <c r="D320" s="98" t="s">
        <v>325</v>
      </c>
      <c r="E320" s="109">
        <v>548341000</v>
      </c>
      <c r="F320" s="109">
        <v>530281000</v>
      </c>
      <c r="G320" s="234" t="s">
        <v>68</v>
      </c>
    </row>
    <row r="321" spans="1:7" ht="24.95" customHeight="1" x14ac:dyDescent="0.25">
      <c r="A321" s="879" t="s">
        <v>134</v>
      </c>
      <c r="B321" s="85" t="s">
        <v>312</v>
      </c>
      <c r="C321" s="98" t="s">
        <v>313</v>
      </c>
      <c r="D321" s="98" t="s">
        <v>323</v>
      </c>
      <c r="E321" s="335">
        <v>3660055000</v>
      </c>
      <c r="F321" s="335">
        <v>3551356000</v>
      </c>
      <c r="G321" s="234" t="s">
        <v>68</v>
      </c>
    </row>
    <row r="322" spans="1:7" ht="24.95" customHeight="1" x14ac:dyDescent="0.25">
      <c r="A322" s="880"/>
      <c r="B322" s="85" t="s">
        <v>316</v>
      </c>
      <c r="C322" s="98" t="s">
        <v>317</v>
      </c>
      <c r="D322" s="98" t="s">
        <v>324</v>
      </c>
      <c r="E322" s="335">
        <v>194718000</v>
      </c>
      <c r="F322" s="335">
        <v>176268000</v>
      </c>
      <c r="G322" s="234" t="s">
        <v>68</v>
      </c>
    </row>
    <row r="323" spans="1:7" ht="24.95" customHeight="1" x14ac:dyDescent="0.25">
      <c r="A323" s="880"/>
      <c r="B323" s="85" t="s">
        <v>320</v>
      </c>
      <c r="C323" s="98" t="s">
        <v>321</v>
      </c>
      <c r="D323" s="98" t="s">
        <v>325</v>
      </c>
      <c r="E323" s="335">
        <v>548341000</v>
      </c>
      <c r="F323" s="335">
        <v>530281000</v>
      </c>
      <c r="G323" s="234" t="s">
        <v>68</v>
      </c>
    </row>
    <row r="324" spans="1:7" ht="24.95" customHeight="1" x14ac:dyDescent="0.25">
      <c r="A324" s="879" t="s">
        <v>135</v>
      </c>
      <c r="B324" s="85" t="s">
        <v>312</v>
      </c>
      <c r="C324" s="98" t="s">
        <v>313</v>
      </c>
      <c r="D324" s="98" t="s">
        <v>323</v>
      </c>
      <c r="E324" s="335">
        <v>3660055000</v>
      </c>
      <c r="F324" s="335">
        <v>3551356000</v>
      </c>
      <c r="G324" s="234" t="s">
        <v>68</v>
      </c>
    </row>
    <row r="325" spans="1:7" ht="24.95" customHeight="1" x14ac:dyDescent="0.25">
      <c r="A325" s="880"/>
      <c r="B325" s="85" t="s">
        <v>316</v>
      </c>
      <c r="C325" s="98" t="s">
        <v>317</v>
      </c>
      <c r="D325" s="98" t="s">
        <v>324</v>
      </c>
      <c r="E325" s="335">
        <v>194718000</v>
      </c>
      <c r="F325" s="335">
        <v>176268000</v>
      </c>
      <c r="G325" s="234" t="s">
        <v>68</v>
      </c>
    </row>
    <row r="326" spans="1:7" ht="24.95" customHeight="1" x14ac:dyDescent="0.25">
      <c r="A326" s="880"/>
      <c r="B326" s="85" t="s">
        <v>320</v>
      </c>
      <c r="C326" s="98" t="s">
        <v>321</v>
      </c>
      <c r="D326" s="98" t="s">
        <v>325</v>
      </c>
      <c r="E326" s="335">
        <v>548341000</v>
      </c>
      <c r="F326" s="335">
        <v>530281000</v>
      </c>
      <c r="G326" s="234" t="s">
        <v>68</v>
      </c>
    </row>
    <row r="327" spans="1:7" ht="24.95" customHeight="1" x14ac:dyDescent="0.25">
      <c r="A327" s="879" t="s">
        <v>124</v>
      </c>
      <c r="B327" s="85" t="s">
        <v>312</v>
      </c>
      <c r="C327" s="98" t="s">
        <v>313</v>
      </c>
      <c r="D327" s="98" t="s">
        <v>323</v>
      </c>
      <c r="E327" s="335">
        <v>3660055000</v>
      </c>
      <c r="F327" s="335">
        <v>3586616500</v>
      </c>
      <c r="G327" s="234" t="s">
        <v>68</v>
      </c>
    </row>
    <row r="328" spans="1:7" ht="24.95" customHeight="1" x14ac:dyDescent="0.25">
      <c r="A328" s="880"/>
      <c r="B328" s="85" t="s">
        <v>316</v>
      </c>
      <c r="C328" s="98" t="s">
        <v>317</v>
      </c>
      <c r="D328" s="98" t="s">
        <v>324</v>
      </c>
      <c r="E328" s="335">
        <v>194718000</v>
      </c>
      <c r="F328" s="335">
        <v>176268000</v>
      </c>
      <c r="G328" s="234" t="s">
        <v>68</v>
      </c>
    </row>
    <row r="329" spans="1:7" ht="24.95" customHeight="1" x14ac:dyDescent="0.25">
      <c r="A329" s="880"/>
      <c r="B329" s="85" t="s">
        <v>320</v>
      </c>
      <c r="C329" s="98" t="s">
        <v>321</v>
      </c>
      <c r="D329" s="98" t="s">
        <v>325</v>
      </c>
      <c r="E329" s="335">
        <v>548341000</v>
      </c>
      <c r="F329" s="335">
        <v>530281000</v>
      </c>
      <c r="G329" s="234" t="s">
        <v>68</v>
      </c>
    </row>
    <row r="330" spans="1:7" ht="24.95" customHeight="1" x14ac:dyDescent="0.25">
      <c r="A330" s="879" t="s">
        <v>125</v>
      </c>
      <c r="B330" s="85" t="s">
        <v>312</v>
      </c>
      <c r="C330" s="98" t="s">
        <v>313</v>
      </c>
      <c r="D330" s="98" t="s">
        <v>323</v>
      </c>
      <c r="E330" s="263">
        <v>3660055000</v>
      </c>
      <c r="F330" s="263">
        <v>3646616500</v>
      </c>
      <c r="G330" s="434" t="s">
        <v>68</v>
      </c>
    </row>
    <row r="331" spans="1:7" ht="24.95" customHeight="1" x14ac:dyDescent="0.25">
      <c r="A331" s="880"/>
      <c r="B331" s="85" t="s">
        <v>316</v>
      </c>
      <c r="C331" s="98" t="s">
        <v>317</v>
      </c>
      <c r="D331" s="98" t="s">
        <v>324</v>
      </c>
      <c r="E331" s="263">
        <v>194718000</v>
      </c>
      <c r="F331" s="263">
        <v>176268000</v>
      </c>
      <c r="G331" s="434" t="s">
        <v>68</v>
      </c>
    </row>
    <row r="332" spans="1:7" ht="24.95" customHeight="1" x14ac:dyDescent="0.25">
      <c r="A332" s="880"/>
      <c r="B332" s="85" t="s">
        <v>320</v>
      </c>
      <c r="C332" s="98" t="s">
        <v>321</v>
      </c>
      <c r="D332" s="98" t="s">
        <v>325</v>
      </c>
      <c r="E332" s="263">
        <v>548341000</v>
      </c>
      <c r="F332" s="263">
        <v>530281000</v>
      </c>
      <c r="G332" s="434" t="s">
        <v>68</v>
      </c>
    </row>
    <row r="333" spans="1:7" ht="24.95" customHeight="1" x14ac:dyDescent="0.25">
      <c r="A333" s="879" t="s">
        <v>126</v>
      </c>
      <c r="B333" s="447" t="s">
        <v>312</v>
      </c>
      <c r="C333" s="270" t="s">
        <v>313</v>
      </c>
      <c r="D333" s="270" t="s">
        <v>323</v>
      </c>
      <c r="E333" s="263">
        <v>3660055000</v>
      </c>
      <c r="F333" s="263">
        <v>3646616500</v>
      </c>
      <c r="G333" s="434" t="s">
        <v>68</v>
      </c>
    </row>
    <row r="334" spans="1:7" ht="24.95" customHeight="1" x14ac:dyDescent="0.25">
      <c r="A334" s="880"/>
      <c r="B334" s="447" t="s">
        <v>316</v>
      </c>
      <c r="C334" s="270" t="s">
        <v>317</v>
      </c>
      <c r="D334" s="270" t="s">
        <v>324</v>
      </c>
      <c r="E334" s="263">
        <v>194718000</v>
      </c>
      <c r="F334" s="263">
        <v>176268000</v>
      </c>
      <c r="G334" s="434" t="s">
        <v>68</v>
      </c>
    </row>
    <row r="335" spans="1:7" ht="24.95" customHeight="1" x14ac:dyDescent="0.25">
      <c r="A335" s="880"/>
      <c r="B335" s="447" t="s">
        <v>320</v>
      </c>
      <c r="C335" s="270" t="s">
        <v>321</v>
      </c>
      <c r="D335" s="270" t="s">
        <v>325</v>
      </c>
      <c r="E335" s="263">
        <v>548341000</v>
      </c>
      <c r="F335" s="263">
        <v>530281000</v>
      </c>
      <c r="G335" s="434" t="s">
        <v>68</v>
      </c>
    </row>
    <row r="336" spans="1:7" ht="24.95" customHeight="1" x14ac:dyDescent="0.25">
      <c r="A336" s="879" t="s">
        <v>127</v>
      </c>
      <c r="B336" s="85" t="s">
        <v>312</v>
      </c>
      <c r="C336" s="98" t="s">
        <v>313</v>
      </c>
      <c r="D336" s="98" t="s">
        <v>323</v>
      </c>
      <c r="E336" s="481">
        <v>3676034835</v>
      </c>
      <c r="F336" s="481">
        <v>3646616500</v>
      </c>
      <c r="G336" s="482" t="s">
        <v>68</v>
      </c>
    </row>
    <row r="337" spans="1:8" ht="24.95" customHeight="1" x14ac:dyDescent="0.25">
      <c r="A337" s="880"/>
      <c r="B337" s="85" t="s">
        <v>316</v>
      </c>
      <c r="C337" s="98" t="s">
        <v>317</v>
      </c>
      <c r="D337" s="98" t="s">
        <v>324</v>
      </c>
      <c r="E337" s="481">
        <v>185106165</v>
      </c>
      <c r="F337" s="481">
        <v>181850665</v>
      </c>
      <c r="G337" s="482" t="s">
        <v>68</v>
      </c>
    </row>
    <row r="338" spans="1:8" ht="24.95" customHeight="1" x14ac:dyDescent="0.25">
      <c r="A338" s="880"/>
      <c r="B338" s="85" t="s">
        <v>320</v>
      </c>
      <c r="C338" s="98" t="s">
        <v>321</v>
      </c>
      <c r="D338" s="98" t="s">
        <v>325</v>
      </c>
      <c r="E338" s="481">
        <v>544955000</v>
      </c>
      <c r="F338" s="481">
        <v>530281000</v>
      </c>
      <c r="G338" s="482" t="s">
        <v>68</v>
      </c>
    </row>
    <row r="339" spans="1:8" ht="24.95" customHeight="1" x14ac:dyDescent="0.25">
      <c r="A339" s="879" t="s">
        <v>128</v>
      </c>
      <c r="B339" s="85" t="s">
        <v>312</v>
      </c>
      <c r="C339" s="98" t="s">
        <v>313</v>
      </c>
      <c r="D339" s="98" t="s">
        <v>323</v>
      </c>
      <c r="E339" s="481">
        <v>3784235855</v>
      </c>
      <c r="F339" s="481">
        <v>3669888533</v>
      </c>
      <c r="G339" s="482" t="s">
        <v>68</v>
      </c>
    </row>
    <row r="340" spans="1:8" ht="24.95" customHeight="1" x14ac:dyDescent="0.25">
      <c r="A340" s="880"/>
      <c r="B340" s="85" t="s">
        <v>316</v>
      </c>
      <c r="C340" s="98" t="s">
        <v>317</v>
      </c>
      <c r="D340" s="98" t="s">
        <v>324</v>
      </c>
      <c r="E340" s="481">
        <v>185106165</v>
      </c>
      <c r="F340" s="481">
        <v>185106165</v>
      </c>
      <c r="G340" s="482" t="s">
        <v>68</v>
      </c>
    </row>
    <row r="341" spans="1:8" ht="24.95" customHeight="1" x14ac:dyDescent="0.25">
      <c r="A341" s="880"/>
      <c r="B341" s="85" t="s">
        <v>320</v>
      </c>
      <c r="C341" s="98" t="s">
        <v>321</v>
      </c>
      <c r="D341" s="575" t="s">
        <v>325</v>
      </c>
      <c r="E341" s="263">
        <v>607396700</v>
      </c>
      <c r="F341" s="263">
        <v>558101500</v>
      </c>
      <c r="G341" s="576" t="s">
        <v>68</v>
      </c>
    </row>
    <row r="342" spans="1:8" ht="24.95" customHeight="1" x14ac:dyDescent="0.25">
      <c r="A342" s="881" t="s">
        <v>129</v>
      </c>
      <c r="B342" s="447" t="s">
        <v>312</v>
      </c>
      <c r="C342" s="270" t="s">
        <v>313</v>
      </c>
      <c r="D342" s="577" t="s">
        <v>323</v>
      </c>
      <c r="E342" s="263">
        <f>+INVERSIÓN!DI11</f>
        <v>3784235855</v>
      </c>
      <c r="F342" s="263">
        <f>+INVERSIÓN!DK11</f>
        <v>3784066500</v>
      </c>
      <c r="G342" s="576" t="s">
        <v>68</v>
      </c>
    </row>
    <row r="343" spans="1:8" ht="24.95" customHeight="1" x14ac:dyDescent="0.25">
      <c r="A343" s="881"/>
      <c r="B343" s="447" t="s">
        <v>316</v>
      </c>
      <c r="C343" s="270" t="s">
        <v>317</v>
      </c>
      <c r="D343" s="577" t="s">
        <v>324</v>
      </c>
      <c r="E343" s="263">
        <f>+INVERSIÓN!DI18</f>
        <v>185106165</v>
      </c>
      <c r="F343" s="263">
        <f>+INVERSIÓN!DK18</f>
        <v>185106165</v>
      </c>
      <c r="G343" s="576" t="s">
        <v>68</v>
      </c>
    </row>
    <row r="344" spans="1:8" ht="24.95" customHeight="1" x14ac:dyDescent="0.25">
      <c r="A344" s="881"/>
      <c r="B344" s="447" t="s">
        <v>320</v>
      </c>
      <c r="C344" s="270" t="s">
        <v>321</v>
      </c>
      <c r="D344" s="577" t="s">
        <v>325</v>
      </c>
      <c r="E344" s="263">
        <f>+INVERSIÓN!DJ25</f>
        <v>607396700</v>
      </c>
      <c r="F344" s="263">
        <f>+INVERSIÓN!DK25</f>
        <v>607396700</v>
      </c>
      <c r="G344" s="576" t="s">
        <v>68</v>
      </c>
    </row>
    <row r="345" spans="1:8" x14ac:dyDescent="0.25">
      <c r="A345" s="143"/>
      <c r="B345" s="186"/>
      <c r="C345" s="187"/>
      <c r="D345" s="187"/>
      <c r="E345" s="188"/>
      <c r="F345" s="145"/>
      <c r="G345" s="3"/>
    </row>
    <row r="346" spans="1:8" x14ac:dyDescent="0.25">
      <c r="A346" s="143"/>
      <c r="B346" s="186"/>
      <c r="C346" s="187"/>
      <c r="D346" s="187"/>
      <c r="E346" s="188"/>
      <c r="F346" s="145"/>
      <c r="G346" s="3"/>
    </row>
    <row r="348" spans="1:8" ht="24.75" customHeight="1" x14ac:dyDescent="0.3">
      <c r="A348" s="901" t="s">
        <v>159</v>
      </c>
      <c r="B348" s="902"/>
      <c r="C348" s="902"/>
      <c r="D348" s="902"/>
      <c r="E348" s="902"/>
      <c r="F348" s="902"/>
      <c r="G348" s="902"/>
      <c r="H348" s="903"/>
    </row>
    <row r="349" spans="1:8" ht="46.5" customHeight="1" x14ac:dyDescent="0.25">
      <c r="A349" s="26" t="s">
        <v>48</v>
      </c>
      <c r="B349" s="27" t="s">
        <v>160</v>
      </c>
      <c r="C349" s="38" t="s">
        <v>140</v>
      </c>
      <c r="D349" s="38" t="s">
        <v>141</v>
      </c>
      <c r="E349" s="38" t="s">
        <v>176</v>
      </c>
      <c r="F349" s="38" t="s">
        <v>161</v>
      </c>
      <c r="G349" s="38" t="s">
        <v>162</v>
      </c>
      <c r="H349" s="28" t="s">
        <v>156</v>
      </c>
    </row>
    <row r="350" spans="1:8" ht="46.5" customHeight="1" x14ac:dyDescent="0.25">
      <c r="A350" s="88" t="s">
        <v>124</v>
      </c>
      <c r="B350" s="89" t="s">
        <v>327</v>
      </c>
      <c r="C350" s="81" t="s">
        <v>315</v>
      </c>
      <c r="D350" s="81">
        <v>100</v>
      </c>
      <c r="E350" s="81">
        <v>0</v>
      </c>
      <c r="F350" s="90">
        <v>0</v>
      </c>
      <c r="G350" s="91" t="e">
        <f t="shared" ref="G350:G355" si="6">F350/E350</f>
        <v>#DIV/0!</v>
      </c>
      <c r="H350" s="150" t="s">
        <v>68</v>
      </c>
    </row>
    <row r="351" spans="1:8" ht="71.25" x14ac:dyDescent="0.25">
      <c r="A351" s="88" t="s">
        <v>125</v>
      </c>
      <c r="B351" s="89" t="s">
        <v>327</v>
      </c>
      <c r="C351" s="81" t="s">
        <v>315</v>
      </c>
      <c r="D351" s="81">
        <v>100</v>
      </c>
      <c r="E351" s="81">
        <v>3</v>
      </c>
      <c r="F351" s="90">
        <f>3/5</f>
        <v>0.6</v>
      </c>
      <c r="G351" s="91">
        <f t="shared" si="6"/>
        <v>0.19999999999999998</v>
      </c>
      <c r="H351" s="92" t="s">
        <v>377</v>
      </c>
    </row>
    <row r="352" spans="1:8" ht="71.25" x14ac:dyDescent="0.25">
      <c r="A352" s="88" t="s">
        <v>126</v>
      </c>
      <c r="B352" s="89" t="s">
        <v>327</v>
      </c>
      <c r="C352" s="81" t="s">
        <v>315</v>
      </c>
      <c r="D352" s="81">
        <v>100</v>
      </c>
      <c r="E352" s="81">
        <v>3</v>
      </c>
      <c r="F352" s="90">
        <f>3/5</f>
        <v>0.6</v>
      </c>
      <c r="G352" s="91">
        <f t="shared" si="6"/>
        <v>0.19999999999999998</v>
      </c>
      <c r="H352" s="92" t="s">
        <v>377</v>
      </c>
    </row>
    <row r="353" spans="1:9" ht="71.25" x14ac:dyDescent="0.25">
      <c r="A353" s="88" t="s">
        <v>127</v>
      </c>
      <c r="B353" s="89" t="s">
        <v>327</v>
      </c>
      <c r="C353" s="81" t="s">
        <v>315</v>
      </c>
      <c r="D353" s="81">
        <v>100</v>
      </c>
      <c r="E353" s="81">
        <v>3</v>
      </c>
      <c r="F353" s="90">
        <f>3/5</f>
        <v>0.6</v>
      </c>
      <c r="G353" s="91">
        <f t="shared" si="6"/>
        <v>0.19999999999999998</v>
      </c>
      <c r="H353" s="92" t="s">
        <v>377</v>
      </c>
    </row>
    <row r="354" spans="1:9" ht="71.25" x14ac:dyDescent="0.25">
      <c r="A354" s="88" t="s">
        <v>128</v>
      </c>
      <c r="B354" s="89" t="s">
        <v>327</v>
      </c>
      <c r="C354" s="81" t="s">
        <v>315</v>
      </c>
      <c r="D354" s="81">
        <v>100</v>
      </c>
      <c r="E354" s="81">
        <v>3</v>
      </c>
      <c r="F354" s="90">
        <f>3/5</f>
        <v>0.6</v>
      </c>
      <c r="G354" s="91">
        <f t="shared" si="6"/>
        <v>0.19999999999999998</v>
      </c>
      <c r="H354" s="92" t="s">
        <v>377</v>
      </c>
    </row>
    <row r="355" spans="1:9" ht="71.25" x14ac:dyDescent="0.25">
      <c r="A355" s="88" t="s">
        <v>129</v>
      </c>
      <c r="B355" s="89" t="s">
        <v>327</v>
      </c>
      <c r="C355" s="81" t="s">
        <v>315</v>
      </c>
      <c r="D355" s="81">
        <v>100</v>
      </c>
      <c r="E355" s="81">
        <v>3</v>
      </c>
      <c r="F355" s="90">
        <f>3/5</f>
        <v>0.6</v>
      </c>
      <c r="G355" s="91">
        <f t="shared" si="6"/>
        <v>0.19999999999999998</v>
      </c>
      <c r="H355" s="92" t="s">
        <v>378</v>
      </c>
    </row>
    <row r="356" spans="1:9" x14ac:dyDescent="0.25">
      <c r="A356" s="143"/>
      <c r="B356" s="144"/>
      <c r="C356" s="145"/>
      <c r="D356" s="145"/>
      <c r="E356" s="145"/>
      <c r="F356" s="146"/>
      <c r="G356" s="147"/>
      <c r="H356" s="148"/>
    </row>
    <row r="357" spans="1:9" ht="15.75" thickBot="1" x14ac:dyDescent="0.3"/>
    <row r="358" spans="1:9" ht="25.5" customHeight="1" x14ac:dyDescent="0.3">
      <c r="A358" s="901" t="s">
        <v>175</v>
      </c>
      <c r="B358" s="902"/>
      <c r="C358" s="902"/>
      <c r="D358" s="902"/>
      <c r="E358" s="902"/>
      <c r="F358" s="902"/>
      <c r="G358" s="902"/>
      <c r="H358" s="903"/>
    </row>
    <row r="359" spans="1:9" ht="53.25" customHeight="1" x14ac:dyDescent="0.25">
      <c r="A359" s="26" t="s">
        <v>49</v>
      </c>
      <c r="B359" s="27" t="s">
        <v>160</v>
      </c>
      <c r="C359" s="38" t="s">
        <v>140</v>
      </c>
      <c r="D359" s="38" t="s">
        <v>150</v>
      </c>
      <c r="E359" s="38" t="s">
        <v>176</v>
      </c>
      <c r="F359" s="38" t="s">
        <v>177</v>
      </c>
      <c r="G359" s="38" t="s">
        <v>178</v>
      </c>
      <c r="H359" s="28" t="s">
        <v>156</v>
      </c>
    </row>
    <row r="360" spans="1:9" ht="16.5" customHeight="1" x14ac:dyDescent="0.25">
      <c r="A360" s="88" t="s">
        <v>130</v>
      </c>
      <c r="B360" s="89" t="s">
        <v>327</v>
      </c>
      <c r="C360" s="81" t="s">
        <v>315</v>
      </c>
      <c r="D360" s="81">
        <v>100</v>
      </c>
      <c r="E360" s="81">
        <v>6</v>
      </c>
      <c r="F360" s="90">
        <v>0</v>
      </c>
      <c r="G360" s="96">
        <f>F360/E360</f>
        <v>0</v>
      </c>
      <c r="H360" s="92" t="s">
        <v>68</v>
      </c>
    </row>
    <row r="361" spans="1:9" ht="44.1" customHeight="1" x14ac:dyDescent="0.25">
      <c r="A361" s="88" t="s">
        <v>131</v>
      </c>
      <c r="B361" s="89" t="s">
        <v>327</v>
      </c>
      <c r="C361" s="81" t="s">
        <v>315</v>
      </c>
      <c r="D361" s="81">
        <v>100</v>
      </c>
      <c r="E361" s="81">
        <v>6</v>
      </c>
      <c r="F361" s="90">
        <f>+E361/11</f>
        <v>0.54545454545454541</v>
      </c>
      <c r="G361" s="123">
        <f>F361/E361</f>
        <v>9.0909090909090898E-2</v>
      </c>
      <c r="H361" s="93" t="s">
        <v>328</v>
      </c>
    </row>
    <row r="362" spans="1:9" ht="16.5" customHeight="1" x14ac:dyDescent="0.25">
      <c r="A362" s="88" t="s">
        <v>132</v>
      </c>
      <c r="B362" s="89" t="s">
        <v>327</v>
      </c>
      <c r="C362" s="81" t="s">
        <v>315</v>
      </c>
      <c r="D362" s="81">
        <v>100</v>
      </c>
      <c r="E362" s="11">
        <v>6</v>
      </c>
      <c r="F362" s="90">
        <v>0.66</v>
      </c>
      <c r="G362" s="123">
        <f t="shared" ref="G362:G368" si="7">F362/E362</f>
        <v>0.11</v>
      </c>
      <c r="H362" s="93" t="s">
        <v>328</v>
      </c>
    </row>
    <row r="363" spans="1:9" ht="28.5" customHeight="1" x14ac:dyDescent="0.25">
      <c r="A363" s="88" t="s">
        <v>133</v>
      </c>
      <c r="B363" s="89" t="s">
        <v>327</v>
      </c>
      <c r="C363" s="81" t="s">
        <v>315</v>
      </c>
      <c r="D363" s="81">
        <v>100</v>
      </c>
      <c r="E363" s="11">
        <v>6</v>
      </c>
      <c r="F363" s="90">
        <v>0.77</v>
      </c>
      <c r="G363" s="123">
        <f t="shared" si="7"/>
        <v>0.12833333333333333</v>
      </c>
      <c r="H363" s="93" t="s">
        <v>328</v>
      </c>
    </row>
    <row r="364" spans="1:9" ht="28.35" customHeight="1" x14ac:dyDescent="0.25">
      <c r="A364" s="88" t="s">
        <v>134</v>
      </c>
      <c r="B364" s="89" t="s">
        <v>327</v>
      </c>
      <c r="C364" s="81" t="s">
        <v>315</v>
      </c>
      <c r="D364" s="81">
        <v>100</v>
      </c>
      <c r="E364" s="11">
        <v>6</v>
      </c>
      <c r="F364" s="11">
        <v>0.88</v>
      </c>
      <c r="G364" s="99">
        <f t="shared" si="7"/>
        <v>0.14666666666666667</v>
      </c>
      <c r="H364" s="93" t="s">
        <v>328</v>
      </c>
    </row>
    <row r="365" spans="1:9" ht="16.5" customHeight="1" x14ac:dyDescent="0.25">
      <c r="A365" s="88" t="s">
        <v>135</v>
      </c>
      <c r="B365" s="89" t="s">
        <v>327</v>
      </c>
      <c r="C365" s="81" t="s">
        <v>315</v>
      </c>
      <c r="D365" s="81">
        <v>100</v>
      </c>
      <c r="E365" s="11">
        <v>6</v>
      </c>
      <c r="F365" s="11">
        <v>0.95</v>
      </c>
      <c r="G365" s="97">
        <f t="shared" si="7"/>
        <v>0.15833333333333333</v>
      </c>
      <c r="H365" s="93" t="s">
        <v>328</v>
      </c>
    </row>
    <row r="366" spans="1:9" ht="36" x14ac:dyDescent="0.25">
      <c r="A366" s="88" t="s">
        <v>124</v>
      </c>
      <c r="B366" s="89" t="s">
        <v>327</v>
      </c>
      <c r="C366" s="81" t="s">
        <v>315</v>
      </c>
      <c r="D366" s="81">
        <v>100</v>
      </c>
      <c r="E366" s="11">
        <v>6</v>
      </c>
      <c r="F366" s="11">
        <v>3</v>
      </c>
      <c r="G366" s="99">
        <f>F366/E366</f>
        <v>0.5</v>
      </c>
      <c r="H366" s="93" t="s">
        <v>329</v>
      </c>
    </row>
    <row r="367" spans="1:9" ht="36" x14ac:dyDescent="0.25">
      <c r="A367" s="88" t="s">
        <v>125</v>
      </c>
      <c r="B367" s="89" t="s">
        <v>327</v>
      </c>
      <c r="C367" s="81" t="s">
        <v>315</v>
      </c>
      <c r="D367" s="81">
        <v>100</v>
      </c>
      <c r="E367" s="11">
        <v>6</v>
      </c>
      <c r="F367" s="11">
        <f>+F366+0.25</f>
        <v>3.25</v>
      </c>
      <c r="G367" s="99">
        <f t="shared" si="7"/>
        <v>0.54166666666666663</v>
      </c>
      <c r="H367" s="93" t="s">
        <v>330</v>
      </c>
    </row>
    <row r="368" spans="1:9" ht="36" x14ac:dyDescent="0.25">
      <c r="A368" s="88" t="s">
        <v>126</v>
      </c>
      <c r="B368" s="89" t="s">
        <v>327</v>
      </c>
      <c r="C368" s="81" t="s">
        <v>315</v>
      </c>
      <c r="D368" s="81">
        <v>100</v>
      </c>
      <c r="E368" s="11">
        <v>6</v>
      </c>
      <c r="F368" s="105">
        <f>+F367+I368</f>
        <v>3.25</v>
      </c>
      <c r="G368" s="99">
        <f t="shared" si="7"/>
        <v>0.54166666666666663</v>
      </c>
      <c r="H368" s="93" t="s">
        <v>330</v>
      </c>
      <c r="I368" s="3"/>
    </row>
    <row r="369" spans="1:8" ht="36" x14ac:dyDescent="0.25">
      <c r="A369" s="88" t="s">
        <v>127</v>
      </c>
      <c r="B369" s="89" t="s">
        <v>327</v>
      </c>
      <c r="C369" s="81" t="s">
        <v>315</v>
      </c>
      <c r="D369" s="81">
        <v>100</v>
      </c>
      <c r="E369" s="11">
        <v>6</v>
      </c>
      <c r="F369" s="105">
        <f>+F368+I368</f>
        <v>3.25</v>
      </c>
      <c r="G369" s="99">
        <f>F369/E369</f>
        <v>0.54166666666666663</v>
      </c>
      <c r="H369" s="93" t="s">
        <v>330</v>
      </c>
    </row>
    <row r="370" spans="1:8" ht="36" x14ac:dyDescent="0.25">
      <c r="A370" s="88" t="s">
        <v>128</v>
      </c>
      <c r="B370" s="89" t="s">
        <v>327</v>
      </c>
      <c r="C370" s="81" t="s">
        <v>315</v>
      </c>
      <c r="D370" s="81">
        <v>100</v>
      </c>
      <c r="E370" s="11">
        <v>6</v>
      </c>
      <c r="F370" s="105">
        <f>+F369+I368</f>
        <v>3.25</v>
      </c>
      <c r="G370" s="99">
        <f>F370/E370</f>
        <v>0.54166666666666663</v>
      </c>
      <c r="H370" s="93" t="s">
        <v>330</v>
      </c>
    </row>
    <row r="371" spans="1:8" ht="36" x14ac:dyDescent="0.25">
      <c r="A371" s="88" t="s">
        <v>129</v>
      </c>
      <c r="B371" s="89" t="s">
        <v>327</v>
      </c>
      <c r="C371" s="81" t="s">
        <v>315</v>
      </c>
      <c r="D371" s="81">
        <v>100</v>
      </c>
      <c r="E371" s="11">
        <v>6</v>
      </c>
      <c r="F371" s="106">
        <f>+F370+0.18</f>
        <v>3.43</v>
      </c>
      <c r="G371" s="99">
        <f>F371/E371</f>
        <v>0.57166666666666666</v>
      </c>
      <c r="H371" s="93" t="s">
        <v>330</v>
      </c>
    </row>
    <row r="372" spans="1:8" ht="15.75" thickBot="1" x14ac:dyDescent="0.3"/>
    <row r="373" spans="1:8" ht="20.25" x14ac:dyDescent="0.3">
      <c r="A373" s="901" t="s">
        <v>163</v>
      </c>
      <c r="B373" s="902"/>
      <c r="C373" s="902"/>
      <c r="D373" s="902"/>
      <c r="E373" s="902"/>
      <c r="F373" s="902"/>
      <c r="G373" s="902"/>
      <c r="H373" s="903"/>
    </row>
    <row r="374" spans="1:8" ht="54.75" customHeight="1" x14ac:dyDescent="0.25">
      <c r="A374" s="26" t="s">
        <v>61</v>
      </c>
      <c r="B374" s="27" t="s">
        <v>160</v>
      </c>
      <c r="C374" s="38" t="s">
        <v>140</v>
      </c>
      <c r="D374" s="38" t="s">
        <v>152</v>
      </c>
      <c r="E374" s="38" t="s">
        <v>164</v>
      </c>
      <c r="F374" s="38" t="s">
        <v>165</v>
      </c>
      <c r="G374" s="38" t="s">
        <v>166</v>
      </c>
      <c r="H374" s="28" t="s">
        <v>156</v>
      </c>
    </row>
    <row r="375" spans="1:8" ht="35.1" customHeight="1" x14ac:dyDescent="0.25">
      <c r="A375" s="170" t="s">
        <v>130</v>
      </c>
      <c r="B375" s="149" t="s">
        <v>327</v>
      </c>
      <c r="C375" s="81" t="s">
        <v>315</v>
      </c>
      <c r="D375" s="81">
        <v>100</v>
      </c>
      <c r="E375" s="81">
        <v>6</v>
      </c>
      <c r="F375" s="90">
        <v>0</v>
      </c>
      <c r="G375" s="123">
        <f t="shared" ref="G375:G386" si="8">F375/E375</f>
        <v>0</v>
      </c>
      <c r="H375" s="150" t="s">
        <v>68</v>
      </c>
    </row>
    <row r="376" spans="1:8" ht="35.1" customHeight="1" x14ac:dyDescent="0.25">
      <c r="A376" s="170" t="s">
        <v>131</v>
      </c>
      <c r="B376" s="149" t="s">
        <v>327</v>
      </c>
      <c r="C376" s="81" t="s">
        <v>315</v>
      </c>
      <c r="D376" s="81">
        <v>100</v>
      </c>
      <c r="E376" s="81">
        <v>6</v>
      </c>
      <c r="F376" s="90">
        <f>+E376/11</f>
        <v>0.54545454545454541</v>
      </c>
      <c r="G376" s="123">
        <f t="shared" si="8"/>
        <v>9.0909090909090898E-2</v>
      </c>
      <c r="H376" s="151" t="s">
        <v>328</v>
      </c>
    </row>
    <row r="377" spans="1:8" ht="35.1" customHeight="1" x14ac:dyDescent="0.25">
      <c r="A377" s="170" t="s">
        <v>132</v>
      </c>
      <c r="B377" s="149" t="s">
        <v>327</v>
      </c>
      <c r="C377" s="81" t="s">
        <v>315</v>
      </c>
      <c r="D377" s="81">
        <v>100</v>
      </c>
      <c r="E377" s="11">
        <v>6</v>
      </c>
      <c r="F377" s="90">
        <v>0.66</v>
      </c>
      <c r="G377" s="123">
        <f t="shared" si="8"/>
        <v>0.11</v>
      </c>
      <c r="H377" s="151" t="s">
        <v>328</v>
      </c>
    </row>
    <row r="378" spans="1:8" ht="35.1" customHeight="1" x14ac:dyDescent="0.25">
      <c r="A378" s="170" t="s">
        <v>133</v>
      </c>
      <c r="B378" s="149" t="s">
        <v>327</v>
      </c>
      <c r="C378" s="81" t="s">
        <v>315</v>
      </c>
      <c r="D378" s="81">
        <v>100</v>
      </c>
      <c r="E378" s="11">
        <v>6</v>
      </c>
      <c r="F378" s="90">
        <v>0.77</v>
      </c>
      <c r="G378" s="123">
        <f t="shared" si="8"/>
        <v>0.12833333333333333</v>
      </c>
      <c r="H378" s="151" t="s">
        <v>328</v>
      </c>
    </row>
    <row r="379" spans="1:8" ht="35.1" customHeight="1" x14ac:dyDescent="0.25">
      <c r="A379" s="170" t="s">
        <v>134</v>
      </c>
      <c r="B379" s="149" t="s">
        <v>327</v>
      </c>
      <c r="C379" s="81" t="s">
        <v>315</v>
      </c>
      <c r="D379" s="81">
        <v>100</v>
      </c>
      <c r="E379" s="11">
        <v>6</v>
      </c>
      <c r="F379" s="11">
        <v>0.88</v>
      </c>
      <c r="G379" s="99">
        <f t="shared" si="8"/>
        <v>0.14666666666666667</v>
      </c>
      <c r="H379" s="151" t="s">
        <v>328</v>
      </c>
    </row>
    <row r="380" spans="1:8" ht="35.1" customHeight="1" x14ac:dyDescent="0.25">
      <c r="A380" s="170" t="s">
        <v>135</v>
      </c>
      <c r="B380" s="149" t="s">
        <v>327</v>
      </c>
      <c r="C380" s="81" t="s">
        <v>315</v>
      </c>
      <c r="D380" s="81">
        <v>100</v>
      </c>
      <c r="E380" s="11">
        <v>6</v>
      </c>
      <c r="F380" s="11">
        <v>0.95</v>
      </c>
      <c r="G380" s="99">
        <f t="shared" si="8"/>
        <v>0.15833333333333333</v>
      </c>
      <c r="H380" s="151" t="s">
        <v>328</v>
      </c>
    </row>
    <row r="381" spans="1:8" ht="35.1" customHeight="1" x14ac:dyDescent="0.25">
      <c r="A381" s="170" t="s">
        <v>124</v>
      </c>
      <c r="B381" s="149" t="s">
        <v>327</v>
      </c>
      <c r="C381" s="81" t="s">
        <v>315</v>
      </c>
      <c r="D381" s="81">
        <v>100</v>
      </c>
      <c r="E381" s="11">
        <v>6</v>
      </c>
      <c r="F381" s="11">
        <v>3</v>
      </c>
      <c r="G381" s="99">
        <f t="shared" si="8"/>
        <v>0.5</v>
      </c>
      <c r="H381" s="151" t="s">
        <v>329</v>
      </c>
    </row>
    <row r="382" spans="1:8" ht="35.1" customHeight="1" x14ac:dyDescent="0.25">
      <c r="A382" s="170" t="s">
        <v>125</v>
      </c>
      <c r="B382" s="149" t="s">
        <v>327</v>
      </c>
      <c r="C382" s="81" t="s">
        <v>315</v>
      </c>
      <c r="D382" s="81">
        <v>100</v>
      </c>
      <c r="E382" s="11">
        <v>6</v>
      </c>
      <c r="F382" s="11">
        <f>+F381+0.25</f>
        <v>3.25</v>
      </c>
      <c r="G382" s="99">
        <f t="shared" si="8"/>
        <v>0.54166666666666663</v>
      </c>
      <c r="H382" s="151" t="s">
        <v>330</v>
      </c>
    </row>
    <row r="383" spans="1:8" ht="34.5" customHeight="1" x14ac:dyDescent="0.25">
      <c r="A383" s="170" t="s">
        <v>126</v>
      </c>
      <c r="B383" s="149" t="s">
        <v>327</v>
      </c>
      <c r="C383" s="81" t="s">
        <v>315</v>
      </c>
      <c r="D383" s="81">
        <v>100</v>
      </c>
      <c r="E383" s="11">
        <v>6</v>
      </c>
      <c r="F383" s="105">
        <f>+F382+I383</f>
        <v>3.25</v>
      </c>
      <c r="G383" s="99">
        <f t="shared" si="8"/>
        <v>0.54166666666666663</v>
      </c>
      <c r="H383" s="151" t="s">
        <v>330</v>
      </c>
    </row>
    <row r="384" spans="1:8" ht="35.1" customHeight="1" x14ac:dyDescent="0.25">
      <c r="A384" s="170" t="s">
        <v>127</v>
      </c>
      <c r="B384" s="149" t="s">
        <v>327</v>
      </c>
      <c r="C384" s="81" t="s">
        <v>315</v>
      </c>
      <c r="D384" s="81">
        <v>100</v>
      </c>
      <c r="E384" s="11">
        <v>6</v>
      </c>
      <c r="F384" s="105">
        <f>+F383+I383</f>
        <v>3.25</v>
      </c>
      <c r="G384" s="99">
        <f t="shared" si="8"/>
        <v>0.54166666666666663</v>
      </c>
      <c r="H384" s="151" t="s">
        <v>330</v>
      </c>
    </row>
    <row r="385" spans="1:8" ht="35.1" customHeight="1" x14ac:dyDescent="0.25">
      <c r="A385" s="170" t="s">
        <v>128</v>
      </c>
      <c r="B385" s="149" t="s">
        <v>327</v>
      </c>
      <c r="C385" s="81" t="s">
        <v>315</v>
      </c>
      <c r="D385" s="81">
        <v>100</v>
      </c>
      <c r="E385" s="11">
        <v>6</v>
      </c>
      <c r="F385" s="105">
        <f>+F384+I383</f>
        <v>3.25</v>
      </c>
      <c r="G385" s="99">
        <f t="shared" si="8"/>
        <v>0.54166666666666663</v>
      </c>
      <c r="H385" s="151" t="s">
        <v>330</v>
      </c>
    </row>
    <row r="386" spans="1:8" ht="35.1" customHeight="1" thickBot="1" x14ac:dyDescent="0.3">
      <c r="A386" s="165" t="s">
        <v>129</v>
      </c>
      <c r="B386" s="149" t="s">
        <v>327</v>
      </c>
      <c r="C386" s="81" t="s">
        <v>315</v>
      </c>
      <c r="D386" s="81">
        <v>100</v>
      </c>
      <c r="E386" s="11">
        <v>6</v>
      </c>
      <c r="F386" s="106">
        <f>+F385+0.18</f>
        <v>3.43</v>
      </c>
      <c r="G386" s="99">
        <f t="shared" si="8"/>
        <v>0.57166666666666666</v>
      </c>
      <c r="H386" s="151" t="s">
        <v>330</v>
      </c>
    </row>
    <row r="387" spans="1:8" ht="15.75" thickBot="1" x14ac:dyDescent="0.3"/>
    <row r="388" spans="1:8" ht="20.25" x14ac:dyDescent="0.3">
      <c r="A388" s="901" t="s">
        <v>167</v>
      </c>
      <c r="B388" s="902"/>
      <c r="C388" s="902"/>
      <c r="D388" s="902"/>
      <c r="E388" s="902"/>
      <c r="F388" s="902"/>
      <c r="G388" s="902"/>
      <c r="H388" s="903"/>
    </row>
    <row r="389" spans="1:8" ht="52.5" customHeight="1" x14ac:dyDescent="0.25">
      <c r="A389" s="26" t="s">
        <v>62</v>
      </c>
      <c r="B389" s="27" t="s">
        <v>160</v>
      </c>
      <c r="C389" s="38" t="s">
        <v>140</v>
      </c>
      <c r="D389" s="38" t="s">
        <v>153</v>
      </c>
      <c r="E389" s="38" t="s">
        <v>168</v>
      </c>
      <c r="F389" s="38" t="s">
        <v>169</v>
      </c>
      <c r="G389" s="38" t="s">
        <v>170</v>
      </c>
      <c r="H389" s="28" t="s">
        <v>156</v>
      </c>
    </row>
    <row r="390" spans="1:8" s="3" customFormat="1" ht="30" customHeight="1" x14ac:dyDescent="0.25">
      <c r="A390" s="191" t="s">
        <v>130</v>
      </c>
      <c r="B390" s="149" t="s">
        <v>327</v>
      </c>
      <c r="C390" s="81" t="s">
        <v>315</v>
      </c>
      <c r="D390" s="81">
        <v>100</v>
      </c>
      <c r="E390" s="81">
        <v>6</v>
      </c>
      <c r="F390" s="90">
        <v>0</v>
      </c>
      <c r="G390" s="123">
        <v>0</v>
      </c>
      <c r="H390" s="150" t="s">
        <v>68</v>
      </c>
    </row>
    <row r="391" spans="1:8" s="3" customFormat="1" ht="30" customHeight="1" x14ac:dyDescent="0.25">
      <c r="A391" s="191" t="s">
        <v>131</v>
      </c>
      <c r="B391" s="149" t="s">
        <v>327</v>
      </c>
      <c r="C391" s="81" t="s">
        <v>315</v>
      </c>
      <c r="D391" s="81">
        <v>100</v>
      </c>
      <c r="E391" s="81">
        <v>6</v>
      </c>
      <c r="F391" s="90">
        <f>+E391/11</f>
        <v>0.54545454545454541</v>
      </c>
      <c r="G391" s="123">
        <f>F391/E391</f>
        <v>9.0909090909090898E-2</v>
      </c>
      <c r="H391" s="151" t="s">
        <v>328</v>
      </c>
    </row>
    <row r="392" spans="1:8" s="3" customFormat="1" ht="30" customHeight="1" x14ac:dyDescent="0.25">
      <c r="A392" s="191" t="s">
        <v>132</v>
      </c>
      <c r="B392" s="149" t="s">
        <v>327</v>
      </c>
      <c r="C392" s="81" t="s">
        <v>315</v>
      </c>
      <c r="D392" s="81">
        <v>100</v>
      </c>
      <c r="E392" s="11">
        <v>6</v>
      </c>
      <c r="F392" s="90">
        <v>0.66</v>
      </c>
      <c r="G392" s="123">
        <v>0.11</v>
      </c>
      <c r="H392" s="151" t="s">
        <v>328</v>
      </c>
    </row>
    <row r="393" spans="1:8" s="3" customFormat="1" ht="30" customHeight="1" x14ac:dyDescent="0.25">
      <c r="A393" s="191" t="s">
        <v>133</v>
      </c>
      <c r="B393" s="149" t="s">
        <v>327</v>
      </c>
      <c r="C393" s="81" t="s">
        <v>315</v>
      </c>
      <c r="D393" s="81">
        <v>100</v>
      </c>
      <c r="E393" s="11">
        <v>6</v>
      </c>
      <c r="F393" s="90">
        <v>0.77</v>
      </c>
      <c r="G393" s="123">
        <f t="shared" ref="G393" si="9">F393/E393</f>
        <v>0.12833333333333333</v>
      </c>
      <c r="H393" s="151" t="s">
        <v>328</v>
      </c>
    </row>
    <row r="394" spans="1:8" s="3" customFormat="1" ht="30" customHeight="1" x14ac:dyDescent="0.25">
      <c r="A394" s="191" t="s">
        <v>134</v>
      </c>
      <c r="B394" s="149" t="s">
        <v>327</v>
      </c>
      <c r="C394" s="81" t="s">
        <v>315</v>
      </c>
      <c r="D394" s="81">
        <v>100</v>
      </c>
      <c r="E394" s="11">
        <v>6</v>
      </c>
      <c r="F394" s="11">
        <v>0.88</v>
      </c>
      <c r="G394" s="336">
        <v>0.14666666666666667</v>
      </c>
      <c r="H394" s="151" t="s">
        <v>328</v>
      </c>
    </row>
    <row r="395" spans="1:8" s="3" customFormat="1" ht="30" customHeight="1" x14ac:dyDescent="0.25">
      <c r="A395" s="191" t="s">
        <v>135</v>
      </c>
      <c r="B395" s="149" t="s">
        <v>327</v>
      </c>
      <c r="C395" s="81" t="s">
        <v>315</v>
      </c>
      <c r="D395" s="81">
        <v>100</v>
      </c>
      <c r="E395" s="11">
        <v>6</v>
      </c>
      <c r="F395" s="11">
        <v>0.95</v>
      </c>
      <c r="G395" s="336">
        <v>0.15833333333333333</v>
      </c>
      <c r="H395" s="151" t="s">
        <v>328</v>
      </c>
    </row>
    <row r="396" spans="1:8" s="3" customFormat="1" ht="30" customHeight="1" x14ac:dyDescent="0.25">
      <c r="A396" s="191" t="s">
        <v>124</v>
      </c>
      <c r="B396" s="149" t="s">
        <v>327</v>
      </c>
      <c r="C396" s="81" t="s">
        <v>315</v>
      </c>
      <c r="D396" s="81">
        <v>100</v>
      </c>
      <c r="E396" s="11">
        <v>6</v>
      </c>
      <c r="F396" s="11">
        <v>3</v>
      </c>
      <c r="G396" s="336">
        <v>0.5</v>
      </c>
      <c r="H396" s="151" t="s">
        <v>329</v>
      </c>
    </row>
    <row r="397" spans="1:8" s="3" customFormat="1" ht="30" customHeight="1" x14ac:dyDescent="0.25">
      <c r="A397" s="191" t="s">
        <v>125</v>
      </c>
      <c r="B397" s="149" t="s">
        <v>327</v>
      </c>
      <c r="C397" s="81" t="s">
        <v>315</v>
      </c>
      <c r="D397" s="81">
        <v>100</v>
      </c>
      <c r="E397" s="11">
        <v>6</v>
      </c>
      <c r="F397" s="258">
        <v>3.25</v>
      </c>
      <c r="G397" s="264">
        <v>0.54166666666666696</v>
      </c>
      <c r="H397" s="151" t="s">
        <v>328</v>
      </c>
    </row>
    <row r="398" spans="1:8" s="3" customFormat="1" ht="30" customHeight="1" x14ac:dyDescent="0.25">
      <c r="A398" s="454" t="s">
        <v>126</v>
      </c>
      <c r="B398" s="455" t="s">
        <v>327</v>
      </c>
      <c r="C398" s="456" t="s">
        <v>315</v>
      </c>
      <c r="D398" s="456">
        <v>100</v>
      </c>
      <c r="E398" s="258">
        <v>6</v>
      </c>
      <c r="F398" s="262">
        <v>3.25</v>
      </c>
      <c r="G398" s="264">
        <v>0.54166666666666696</v>
      </c>
      <c r="H398" s="151" t="s">
        <v>328</v>
      </c>
    </row>
    <row r="399" spans="1:8" s="3" customFormat="1" ht="30" customHeight="1" x14ac:dyDescent="0.25">
      <c r="A399" s="191" t="s">
        <v>127</v>
      </c>
      <c r="B399" s="149" t="s">
        <v>327</v>
      </c>
      <c r="C399" s="81" t="s">
        <v>315</v>
      </c>
      <c r="D399" s="81">
        <v>100</v>
      </c>
      <c r="E399" s="11">
        <v>6</v>
      </c>
      <c r="F399" s="478">
        <v>3.25</v>
      </c>
      <c r="G399" s="483">
        <v>0.54166666666666696</v>
      </c>
      <c r="H399" s="484" t="s">
        <v>328</v>
      </c>
    </row>
    <row r="400" spans="1:8" s="3" customFormat="1" ht="30" customHeight="1" x14ac:dyDescent="0.25">
      <c r="A400" s="568" t="s">
        <v>128</v>
      </c>
      <c r="B400" s="569" t="s">
        <v>327</v>
      </c>
      <c r="C400" s="570" t="s">
        <v>315</v>
      </c>
      <c r="D400" s="570">
        <v>100</v>
      </c>
      <c r="E400" s="571">
        <v>6</v>
      </c>
      <c r="F400" s="572">
        <v>5</v>
      </c>
      <c r="G400" s="264">
        <v>0.83330000000000004</v>
      </c>
      <c r="H400" s="573" t="s">
        <v>328</v>
      </c>
    </row>
    <row r="401" spans="1:8" s="3" customFormat="1" ht="30" customHeight="1" thickBot="1" x14ac:dyDescent="0.3">
      <c r="A401" s="574" t="s">
        <v>129</v>
      </c>
      <c r="B401" s="569" t="s">
        <v>327</v>
      </c>
      <c r="C401" s="570" t="s">
        <v>315</v>
      </c>
      <c r="D401" s="570">
        <v>100</v>
      </c>
      <c r="E401" s="571">
        <v>6</v>
      </c>
      <c r="F401" s="572">
        <v>6</v>
      </c>
      <c r="G401" s="264">
        <v>1</v>
      </c>
      <c r="H401" s="573" t="s">
        <v>328</v>
      </c>
    </row>
    <row r="403" spans="1:8" ht="20.25" hidden="1" x14ac:dyDescent="0.3">
      <c r="A403" s="901" t="s">
        <v>171</v>
      </c>
      <c r="B403" s="902"/>
      <c r="C403" s="902"/>
      <c r="D403" s="902"/>
      <c r="E403" s="902"/>
      <c r="F403" s="902"/>
      <c r="G403" s="902"/>
      <c r="H403" s="903"/>
    </row>
    <row r="404" spans="1:8" ht="63.75" hidden="1" customHeight="1" x14ac:dyDescent="0.25">
      <c r="A404" s="26" t="s">
        <v>63</v>
      </c>
      <c r="B404" s="27" t="s">
        <v>160</v>
      </c>
      <c r="C404" s="38" t="s">
        <v>140</v>
      </c>
      <c r="D404" s="38" t="s">
        <v>154</v>
      </c>
      <c r="E404" s="38" t="s">
        <v>172</v>
      </c>
      <c r="F404" s="38" t="s">
        <v>173</v>
      </c>
      <c r="G404" s="38" t="s">
        <v>174</v>
      </c>
      <c r="H404" s="28" t="s">
        <v>156</v>
      </c>
    </row>
    <row r="405" spans="1:8" hidden="1" x14ac:dyDescent="0.25">
      <c r="A405" s="32" t="s">
        <v>130</v>
      </c>
      <c r="B405" s="29"/>
      <c r="C405" s="29"/>
      <c r="D405" s="29"/>
      <c r="E405" s="29"/>
      <c r="F405" s="29"/>
      <c r="G405" s="29" t="e">
        <f>F405/E405</f>
        <v>#DIV/0!</v>
      </c>
      <c r="H405" s="30"/>
    </row>
    <row r="406" spans="1:8" hidden="1" x14ac:dyDescent="0.25">
      <c r="A406" s="32" t="s">
        <v>131</v>
      </c>
      <c r="B406" s="29"/>
      <c r="C406" s="29"/>
      <c r="D406" s="29"/>
      <c r="E406" s="29"/>
      <c r="F406" s="29"/>
      <c r="G406" s="29" t="e">
        <f t="shared" ref="G406:G416" si="10">F406/E406</f>
        <v>#DIV/0!</v>
      </c>
      <c r="H406" s="30"/>
    </row>
    <row r="407" spans="1:8" hidden="1" x14ac:dyDescent="0.25">
      <c r="A407" s="32" t="s">
        <v>132</v>
      </c>
      <c r="B407" s="29"/>
      <c r="C407" s="29"/>
      <c r="D407" s="29"/>
      <c r="E407" s="29"/>
      <c r="F407" s="29"/>
      <c r="G407" s="29" t="e">
        <f t="shared" si="10"/>
        <v>#DIV/0!</v>
      </c>
      <c r="H407" s="30"/>
    </row>
    <row r="408" spans="1:8" hidden="1" x14ac:dyDescent="0.25">
      <c r="A408" s="32" t="s">
        <v>133</v>
      </c>
      <c r="B408" s="29"/>
      <c r="C408" s="29"/>
      <c r="D408" s="29"/>
      <c r="E408" s="29"/>
      <c r="F408" s="29"/>
      <c r="G408" s="29" t="e">
        <f t="shared" si="10"/>
        <v>#DIV/0!</v>
      </c>
      <c r="H408" s="30"/>
    </row>
    <row r="409" spans="1:8" hidden="1" x14ac:dyDescent="0.25">
      <c r="A409" s="32" t="s">
        <v>134</v>
      </c>
      <c r="B409" s="29"/>
      <c r="C409" s="29"/>
      <c r="D409" s="29"/>
      <c r="E409" s="29"/>
      <c r="F409" s="29"/>
      <c r="G409" s="29" t="e">
        <f t="shared" si="10"/>
        <v>#DIV/0!</v>
      </c>
      <c r="H409" s="30"/>
    </row>
    <row r="410" spans="1:8" hidden="1" x14ac:dyDescent="0.25">
      <c r="A410" s="32" t="s">
        <v>135</v>
      </c>
      <c r="B410" s="29"/>
      <c r="C410" s="29"/>
      <c r="D410" s="29"/>
      <c r="E410" s="29"/>
      <c r="F410" s="29"/>
      <c r="G410" s="29" t="e">
        <f t="shared" si="10"/>
        <v>#DIV/0!</v>
      </c>
      <c r="H410" s="30"/>
    </row>
    <row r="411" spans="1:8" hidden="1" x14ac:dyDescent="0.25">
      <c r="A411" s="32" t="s">
        <v>124</v>
      </c>
      <c r="B411" s="29"/>
      <c r="C411" s="29"/>
      <c r="D411" s="29"/>
      <c r="E411" s="29"/>
      <c r="F411" s="29"/>
      <c r="G411" s="29" t="e">
        <f t="shared" si="10"/>
        <v>#DIV/0!</v>
      </c>
      <c r="H411" s="30"/>
    </row>
    <row r="412" spans="1:8" hidden="1" x14ac:dyDescent="0.25">
      <c r="A412" s="32" t="s">
        <v>125</v>
      </c>
      <c r="B412" s="29"/>
      <c r="C412" s="29"/>
      <c r="D412" s="29"/>
      <c r="E412" s="29"/>
      <c r="F412" s="29"/>
      <c r="G412" s="29" t="e">
        <f t="shared" si="10"/>
        <v>#DIV/0!</v>
      </c>
      <c r="H412" s="30"/>
    </row>
    <row r="413" spans="1:8" hidden="1" x14ac:dyDescent="0.25">
      <c r="A413" s="32" t="s">
        <v>126</v>
      </c>
      <c r="B413" s="29"/>
      <c r="C413" s="29"/>
      <c r="D413" s="29"/>
      <c r="E413" s="29"/>
      <c r="F413" s="29"/>
      <c r="G413" s="29" t="e">
        <f t="shared" si="10"/>
        <v>#DIV/0!</v>
      </c>
      <c r="H413" s="30"/>
    </row>
    <row r="414" spans="1:8" hidden="1" x14ac:dyDescent="0.25">
      <c r="A414" s="32" t="s">
        <v>127</v>
      </c>
      <c r="B414" s="29"/>
      <c r="C414" s="29"/>
      <c r="D414" s="29"/>
      <c r="E414" s="29"/>
      <c r="F414" s="29"/>
      <c r="G414" s="29" t="e">
        <f t="shared" si="10"/>
        <v>#DIV/0!</v>
      </c>
      <c r="H414" s="30"/>
    </row>
    <row r="415" spans="1:8" hidden="1" x14ac:dyDescent="0.25">
      <c r="A415" s="32" t="s">
        <v>128</v>
      </c>
      <c r="B415" s="29"/>
      <c r="C415" s="29"/>
      <c r="D415" s="29"/>
      <c r="E415" s="29"/>
      <c r="F415" s="29"/>
      <c r="G415" s="29" t="e">
        <f t="shared" si="10"/>
        <v>#DIV/0!</v>
      </c>
      <c r="H415" s="30"/>
    </row>
    <row r="416" spans="1:8" ht="15.75" hidden="1" thickBot="1" x14ac:dyDescent="0.3">
      <c r="A416" s="33" t="s">
        <v>129</v>
      </c>
      <c r="B416" s="31"/>
      <c r="C416" s="31"/>
      <c r="D416" s="31"/>
      <c r="E416" s="31"/>
      <c r="F416" s="31"/>
      <c r="G416" s="31" t="e">
        <f t="shared" si="10"/>
        <v>#DIV/0!</v>
      </c>
      <c r="H416" s="34"/>
    </row>
    <row r="417" spans="1:79" ht="26.25" hidden="1" customHeight="1" x14ac:dyDescent="0.25">
      <c r="A417" s="18"/>
      <c r="B417" s="16"/>
      <c r="C417" s="16"/>
      <c r="D417" s="16"/>
      <c r="E417" s="17"/>
      <c r="F417" s="17"/>
      <c r="G417" s="17"/>
      <c r="H417" s="17"/>
      <c r="I417" s="17"/>
      <c r="J417" s="17"/>
      <c r="K417" s="17"/>
      <c r="L417" s="17"/>
      <c r="M417" s="17"/>
      <c r="N417" s="17"/>
      <c r="O417" s="17"/>
      <c r="P417" s="17"/>
      <c r="Q417" s="17"/>
      <c r="R417" s="17"/>
      <c r="S417" s="17"/>
      <c r="T417" s="17"/>
      <c r="U417" s="17"/>
      <c r="V417" s="17"/>
      <c r="W417" s="17"/>
      <c r="X417" s="16"/>
      <c r="Y417" s="16"/>
      <c r="Z417" s="16"/>
      <c r="AA417" s="16"/>
      <c r="AB417" s="16"/>
      <c r="AC417" s="16"/>
      <c r="AD417" s="19"/>
      <c r="AE417" s="19"/>
      <c r="AF417" s="19"/>
      <c r="AG417" s="19"/>
      <c r="AH417" s="19"/>
      <c r="AI417" s="19"/>
      <c r="AJ417" s="25"/>
      <c r="AK417" s="25"/>
      <c r="AL417" s="20"/>
      <c r="AM417" s="20"/>
      <c r="AN417" s="20"/>
      <c r="AO417" s="20"/>
      <c r="AP417" s="20"/>
      <c r="AQ417" s="20"/>
      <c r="AR417" s="20"/>
    </row>
    <row r="418" spans="1:79" ht="18" x14ac:dyDescent="0.25">
      <c r="A418" s="18" t="s">
        <v>34</v>
      </c>
      <c r="B418" s="16"/>
      <c r="C418" s="16"/>
      <c r="D418" s="16"/>
      <c r="E418" s="40"/>
      <c r="F418" s="40"/>
      <c r="G418" s="40"/>
      <c r="H418" s="17"/>
      <c r="I418" s="17"/>
      <c r="J418" s="17"/>
      <c r="K418" s="17"/>
      <c r="L418" s="17"/>
      <c r="M418" s="17"/>
      <c r="N418" s="17"/>
      <c r="O418" s="17"/>
      <c r="P418" s="17"/>
      <c r="Q418" s="17"/>
      <c r="R418" s="17"/>
      <c r="S418" s="17"/>
      <c r="T418" s="17"/>
      <c r="U418" s="17"/>
      <c r="V418" s="17"/>
      <c r="W418" s="17"/>
      <c r="X418" s="17"/>
      <c r="Y418" s="17"/>
      <c r="Z418" s="17"/>
      <c r="AA418" s="17"/>
      <c r="AB418" s="17"/>
      <c r="AC418" s="40"/>
      <c r="AD418" s="16"/>
      <c r="AE418" s="16"/>
      <c r="AF418" s="16"/>
      <c r="AG418" s="16"/>
      <c r="AH418" s="24"/>
      <c r="AI418" s="24"/>
      <c r="AJ418" s="25"/>
      <c r="AK418" s="19"/>
      <c r="AL418" s="19"/>
      <c r="AM418" s="19"/>
      <c r="AN418" s="19"/>
      <c r="AO418" s="19"/>
      <c r="AP418" s="25"/>
      <c r="AQ418" s="25"/>
      <c r="AR418" s="20"/>
      <c r="AS418" s="20"/>
      <c r="AT418" s="20"/>
      <c r="AU418" s="20"/>
      <c r="AV418" s="20"/>
      <c r="AW418" s="20"/>
      <c r="AX418" s="78"/>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5">
      <c r="A419" s="22"/>
      <c r="B419" s="22"/>
      <c r="C419" s="22"/>
      <c r="D419" s="22"/>
      <c r="E419" s="41"/>
      <c r="F419" s="41"/>
      <c r="G419" s="41"/>
      <c r="H419" s="22"/>
      <c r="I419" s="22"/>
      <c r="J419" s="22"/>
      <c r="K419" s="22"/>
      <c r="L419" s="22"/>
      <c r="M419" s="22"/>
      <c r="N419" s="22"/>
      <c r="O419" s="22"/>
      <c r="P419" s="22"/>
      <c r="Q419" s="22"/>
      <c r="R419" s="22"/>
      <c r="S419" s="22"/>
      <c r="T419" s="22"/>
      <c r="U419" s="22"/>
      <c r="V419" s="22"/>
      <c r="W419" s="22"/>
      <c r="X419" s="22"/>
      <c r="Y419" s="22"/>
      <c r="Z419" s="22"/>
      <c r="AA419" s="22"/>
      <c r="AB419" s="22"/>
      <c r="AC419" s="41"/>
      <c r="AD419" s="22"/>
      <c r="AE419" s="22"/>
      <c r="AF419" s="22"/>
      <c r="AG419" s="22"/>
      <c r="AH419" s="41"/>
      <c r="AI419" s="41"/>
      <c r="AJ419" s="41"/>
      <c r="AK419" s="22"/>
      <c r="AL419" s="22"/>
      <c r="AM419" s="22"/>
      <c r="AN419" s="22"/>
      <c r="AO419" s="22"/>
      <c r="AP419" s="41"/>
      <c r="AQ419" s="41"/>
      <c r="AR419" s="22"/>
      <c r="AS419" s="22"/>
      <c r="AT419" s="22"/>
      <c r="AU419" s="22"/>
      <c r="AV419" s="22"/>
      <c r="AW419" s="22"/>
      <c r="AX419" s="79"/>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ht="18" x14ac:dyDescent="0.25">
      <c r="A420" s="21" t="s">
        <v>35</v>
      </c>
      <c r="B420" s="898" t="s">
        <v>36</v>
      </c>
      <c r="C420" s="899"/>
      <c r="D420" s="900"/>
      <c r="E420" s="904" t="s">
        <v>37</v>
      </c>
      <c r="F420" s="904"/>
      <c r="G420" s="904"/>
      <c r="H420" s="904"/>
      <c r="I420" s="904"/>
      <c r="J420" s="904"/>
      <c r="K420" s="904"/>
      <c r="L420" s="904"/>
      <c r="M420" s="904"/>
      <c r="N420" s="904"/>
      <c r="O420" s="904"/>
      <c r="P420" s="904"/>
      <c r="Q420" s="904"/>
      <c r="R420" s="904"/>
      <c r="S420" s="16"/>
      <c r="T420" s="16"/>
      <c r="U420" s="16"/>
      <c r="V420" s="16"/>
      <c r="W420" s="16"/>
      <c r="X420" s="16"/>
      <c r="Y420" s="16"/>
      <c r="Z420" s="16"/>
      <c r="AA420" s="16"/>
      <c r="AB420" s="16"/>
      <c r="AC420" s="16"/>
      <c r="AD420" s="113"/>
      <c r="AE420" s="16"/>
      <c r="AF420" s="16"/>
      <c r="AG420" s="16"/>
      <c r="AH420" s="16"/>
      <c r="AI420" s="16"/>
      <c r="AJ420" s="19"/>
      <c r="AK420" s="19"/>
      <c r="AL420" s="19"/>
      <c r="AM420" s="19"/>
      <c r="AN420" s="19"/>
      <c r="AO420" s="19"/>
      <c r="AP420" s="19"/>
      <c r="AQ420" s="25"/>
      <c r="AR420" s="25"/>
      <c r="AS420" s="19"/>
      <c r="AT420" s="19"/>
      <c r="AU420" s="19"/>
      <c r="AV420" s="19"/>
      <c r="AW420" s="19"/>
      <c r="AX420" s="19"/>
      <c r="AY420" s="19"/>
    </row>
    <row r="421" spans="1:79" ht="21" customHeight="1" x14ac:dyDescent="0.25">
      <c r="A421" s="112">
        <v>13</v>
      </c>
      <c r="B421" s="894" t="s">
        <v>89</v>
      </c>
      <c r="C421" s="895"/>
      <c r="D421" s="896"/>
      <c r="E421" s="897" t="s">
        <v>80</v>
      </c>
      <c r="F421" s="897"/>
      <c r="G421" s="897"/>
      <c r="H421" s="897"/>
      <c r="I421" s="897"/>
      <c r="J421" s="897"/>
      <c r="K421" s="897"/>
      <c r="L421" s="897"/>
      <c r="M421" s="897"/>
      <c r="N421" s="897"/>
      <c r="O421" s="897"/>
      <c r="P421" s="897"/>
      <c r="Q421" s="897"/>
      <c r="R421" s="897"/>
      <c r="S421" s="16"/>
      <c r="T421" s="16"/>
      <c r="U421" s="16"/>
      <c r="V421" s="16"/>
      <c r="W421" s="16"/>
      <c r="X421" s="16"/>
      <c r="Y421" s="16"/>
      <c r="Z421" s="16"/>
      <c r="AA421" s="16"/>
      <c r="AB421" s="16"/>
      <c r="AC421" s="16"/>
      <c r="AD421" s="113"/>
      <c r="AE421" s="16"/>
      <c r="AF421" s="16"/>
      <c r="AG421" s="16"/>
      <c r="AH421" s="16"/>
      <c r="AI421" s="16"/>
      <c r="AJ421" s="19"/>
      <c r="AK421" s="19"/>
      <c r="AL421" s="19"/>
      <c r="AM421" s="19"/>
      <c r="AN421" s="19"/>
      <c r="AO421" s="19"/>
      <c r="AP421" s="19"/>
      <c r="AQ421" s="25"/>
      <c r="AR421" s="25"/>
      <c r="AS421" s="19"/>
      <c r="AT421" s="19"/>
      <c r="AU421" s="19"/>
      <c r="AV421" s="19"/>
      <c r="AW421" s="19"/>
      <c r="AX421" s="19"/>
      <c r="AY421" s="19"/>
    </row>
    <row r="422" spans="1:79" ht="21" customHeight="1" x14ac:dyDescent="0.25">
      <c r="A422" s="112">
        <v>14</v>
      </c>
      <c r="B422" s="894" t="s">
        <v>503</v>
      </c>
      <c r="C422" s="895"/>
      <c r="D422" s="896"/>
      <c r="E422" s="897" t="s">
        <v>333</v>
      </c>
      <c r="F422" s="897"/>
      <c r="G422" s="897"/>
      <c r="H422" s="897"/>
      <c r="I422" s="897"/>
      <c r="J422" s="897"/>
      <c r="K422" s="897"/>
      <c r="L422" s="897"/>
      <c r="M422" s="897"/>
      <c r="N422" s="897"/>
      <c r="O422" s="897"/>
      <c r="P422" s="897"/>
      <c r="Q422" s="897"/>
      <c r="R422" s="897"/>
      <c r="S422" s="16"/>
      <c r="T422" s="16"/>
      <c r="U422" s="16"/>
      <c r="V422" s="16"/>
      <c r="W422" s="16"/>
      <c r="X422" s="16"/>
      <c r="Y422" s="16"/>
      <c r="Z422" s="16"/>
      <c r="AA422" s="16"/>
      <c r="AB422" s="16"/>
      <c r="AC422" s="16"/>
      <c r="AD422" s="113"/>
      <c r="AE422" s="16"/>
      <c r="AF422" s="16"/>
      <c r="AG422" s="16"/>
      <c r="AH422" s="16"/>
      <c r="AI422" s="16"/>
      <c r="AJ422" s="16"/>
      <c r="AK422" s="16"/>
      <c r="AL422" s="16"/>
      <c r="AM422" s="16"/>
      <c r="AN422" s="16"/>
      <c r="AO422" s="16"/>
      <c r="AP422" s="16"/>
      <c r="AQ422" s="24"/>
      <c r="AR422" s="24"/>
      <c r="AS422" s="16"/>
      <c r="AT422" s="16"/>
      <c r="AU422" s="16"/>
      <c r="AV422" s="16"/>
      <c r="AW422" s="16"/>
      <c r="AX422" s="16"/>
      <c r="AY422" s="16"/>
    </row>
  </sheetData>
  <sheetProtection formatCells="0" formatColumns="0" formatRows="0" insertHyperlinks="0" sort="0" autoFilter="0" pivotTables="0"/>
  <mergeCells count="146">
    <mergeCell ref="A63:N63"/>
    <mergeCell ref="A250:A252"/>
    <mergeCell ref="A253:A255"/>
    <mergeCell ref="A256:A258"/>
    <mergeCell ref="A259:A261"/>
    <mergeCell ref="A262:A264"/>
    <mergeCell ref="A235:A237"/>
    <mergeCell ref="A238:A240"/>
    <mergeCell ref="A241:A243"/>
    <mergeCell ref="A244:A246"/>
    <mergeCell ref="A247:A249"/>
    <mergeCell ref="A227:G227"/>
    <mergeCell ref="A229:A231"/>
    <mergeCell ref="A232:A234"/>
    <mergeCell ref="A206:G206"/>
    <mergeCell ref="A208:A210"/>
    <mergeCell ref="A211:A213"/>
    <mergeCell ref="A214:A216"/>
    <mergeCell ref="A217:A219"/>
    <mergeCell ref="G102:G104"/>
    <mergeCell ref="A105:A107"/>
    <mergeCell ref="G105:G107"/>
    <mergeCell ref="A108:A110"/>
    <mergeCell ref="G108:G110"/>
    <mergeCell ref="A85:N85"/>
    <mergeCell ref="A87:A89"/>
    <mergeCell ref="G87:G89"/>
    <mergeCell ref="A90:A92"/>
    <mergeCell ref="G90:G92"/>
    <mergeCell ref="A93:A95"/>
    <mergeCell ref="G93:G95"/>
    <mergeCell ref="A96:A98"/>
    <mergeCell ref="G96:G98"/>
    <mergeCell ref="A125:N125"/>
    <mergeCell ref="A127:A129"/>
    <mergeCell ref="G127:G129"/>
    <mergeCell ref="A130:A132"/>
    <mergeCell ref="G130:G132"/>
    <mergeCell ref="A99:A101"/>
    <mergeCell ref="G99:G101"/>
    <mergeCell ref="A102:A104"/>
    <mergeCell ref="A120:A122"/>
    <mergeCell ref="G120:G122"/>
    <mergeCell ref="A114:A116"/>
    <mergeCell ref="G114:G116"/>
    <mergeCell ref="A117:A119"/>
    <mergeCell ref="G117:G119"/>
    <mergeCell ref="A111:A113"/>
    <mergeCell ref="G111:G113"/>
    <mergeCell ref="A179:A181"/>
    <mergeCell ref="G179:G181"/>
    <mergeCell ref="A182:A184"/>
    <mergeCell ref="G182:G184"/>
    <mergeCell ref="A185:A187"/>
    <mergeCell ref="A133:A135"/>
    <mergeCell ref="G133:G135"/>
    <mergeCell ref="A136:A138"/>
    <mergeCell ref="G136:G138"/>
    <mergeCell ref="A139:A141"/>
    <mergeCell ref="G139:G141"/>
    <mergeCell ref="G185:G187"/>
    <mergeCell ref="A1:B3"/>
    <mergeCell ref="C1:N1"/>
    <mergeCell ref="C2:N2"/>
    <mergeCell ref="C3:G3"/>
    <mergeCell ref="H3:N3"/>
    <mergeCell ref="A4:B4"/>
    <mergeCell ref="C4:N4"/>
    <mergeCell ref="A5:B5"/>
    <mergeCell ref="C5:N5"/>
    <mergeCell ref="A31:H31"/>
    <mergeCell ref="A16:H16"/>
    <mergeCell ref="A7:H7"/>
    <mergeCell ref="A267:G267"/>
    <mergeCell ref="A269:A271"/>
    <mergeCell ref="B421:D421"/>
    <mergeCell ref="E421:R421"/>
    <mergeCell ref="B422:D422"/>
    <mergeCell ref="E422:R422"/>
    <mergeCell ref="B420:D420"/>
    <mergeCell ref="A373:H373"/>
    <mergeCell ref="A388:H388"/>
    <mergeCell ref="A403:H403"/>
    <mergeCell ref="E420:R420"/>
    <mergeCell ref="A275:A277"/>
    <mergeCell ref="A299:A301"/>
    <mergeCell ref="A293:A295"/>
    <mergeCell ref="A358:H358"/>
    <mergeCell ref="A348:H348"/>
    <mergeCell ref="A281:A283"/>
    <mergeCell ref="A284:A286"/>
    <mergeCell ref="A302:A304"/>
    <mergeCell ref="A290:A292"/>
    <mergeCell ref="A287:A289"/>
    <mergeCell ref="A46:H46"/>
    <mergeCell ref="A165:N165"/>
    <mergeCell ref="A167:A169"/>
    <mergeCell ref="G167:G169"/>
    <mergeCell ref="A170:A172"/>
    <mergeCell ref="G170:G172"/>
    <mergeCell ref="A173:A175"/>
    <mergeCell ref="G173:G175"/>
    <mergeCell ref="A176:A178"/>
    <mergeCell ref="G176:G178"/>
    <mergeCell ref="A142:A144"/>
    <mergeCell ref="G142:G144"/>
    <mergeCell ref="A148:A150"/>
    <mergeCell ref="G148:G150"/>
    <mergeCell ref="A160:A162"/>
    <mergeCell ref="G160:G162"/>
    <mergeCell ref="A145:A147"/>
    <mergeCell ref="G145:G147"/>
    <mergeCell ref="A151:A153"/>
    <mergeCell ref="G151:G153"/>
    <mergeCell ref="A157:A159"/>
    <mergeCell ref="G157:G159"/>
    <mergeCell ref="A154:A156"/>
    <mergeCell ref="G154:G156"/>
    <mergeCell ref="A188:A190"/>
    <mergeCell ref="G188:G190"/>
    <mergeCell ref="A191:A193"/>
    <mergeCell ref="G191:G193"/>
    <mergeCell ref="A194:A196"/>
    <mergeCell ref="G194:G196"/>
    <mergeCell ref="A197:A199"/>
    <mergeCell ref="G197:G199"/>
    <mergeCell ref="A327:A329"/>
    <mergeCell ref="A330:A332"/>
    <mergeCell ref="A333:A335"/>
    <mergeCell ref="A336:A338"/>
    <mergeCell ref="A339:A341"/>
    <mergeCell ref="A342:A344"/>
    <mergeCell ref="A200:A202"/>
    <mergeCell ref="G200:G202"/>
    <mergeCell ref="A307:G307"/>
    <mergeCell ref="A309:A311"/>
    <mergeCell ref="A312:A314"/>
    <mergeCell ref="A315:A317"/>
    <mergeCell ref="A318:A320"/>
    <mergeCell ref="A321:A323"/>
    <mergeCell ref="A324:A326"/>
    <mergeCell ref="A296:A298"/>
    <mergeCell ref="A278:A280"/>
    <mergeCell ref="A272:A274"/>
    <mergeCell ref="A220:A222"/>
    <mergeCell ref="A223:A225"/>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topLeftCell="F1" zoomScale="82" zoomScaleNormal="82" workbookViewId="0">
      <selection activeCell="U5" sqref="U5"/>
    </sheetView>
  </sheetViews>
  <sheetFormatPr baseColWidth="10" defaultColWidth="10.85546875" defaultRowHeight="15" x14ac:dyDescent="0.25"/>
  <cols>
    <col min="1" max="1" width="25.140625" customWidth="1"/>
    <col min="2" max="2" width="16.140625" customWidth="1"/>
    <col min="3" max="3" width="11.85546875" customWidth="1"/>
    <col min="4" max="4" width="9.85546875" customWidth="1"/>
    <col min="5" max="10" width="10.140625" bestFit="1" customWidth="1"/>
    <col min="11" max="11" width="14.5703125" customWidth="1"/>
    <col min="12" max="13" width="16.85546875" bestFit="1" customWidth="1"/>
    <col min="14" max="14" width="10.140625" bestFit="1" customWidth="1"/>
    <col min="15" max="15" width="13.140625" bestFit="1" customWidth="1"/>
    <col min="16" max="16" width="12.5703125" customWidth="1"/>
    <col min="17" max="17" width="12.42578125" customWidth="1"/>
    <col min="18" max="18" width="12.140625" customWidth="1"/>
    <col min="19" max="19" width="12.140625" bestFit="1" customWidth="1"/>
    <col min="20" max="20" width="7.42578125" bestFit="1" customWidth="1"/>
    <col min="22" max="22" width="7.140625" bestFit="1" customWidth="1"/>
    <col min="24" max="24" width="10.85546875" bestFit="1" customWidth="1"/>
    <col min="26" max="26" width="8.140625" bestFit="1" customWidth="1"/>
    <col min="28" max="28" width="10.140625" bestFit="1" customWidth="1"/>
    <col min="30" max="30" width="9.42578125" bestFit="1" customWidth="1"/>
    <col min="32" max="32" width="10.140625" customWidth="1"/>
  </cols>
  <sheetData>
    <row r="1" spans="1:32" x14ac:dyDescent="0.25">
      <c r="N1">
        <v>528</v>
      </c>
      <c r="O1">
        <v>814</v>
      </c>
    </row>
    <row r="2" spans="1:32" ht="16.5" thickBot="1" x14ac:dyDescent="0.3">
      <c r="A2" s="166"/>
      <c r="B2" s="166" t="s">
        <v>468</v>
      </c>
      <c r="C2" s="166"/>
      <c r="D2" s="166" t="s">
        <v>469</v>
      </c>
      <c r="E2" s="166" t="s">
        <v>470</v>
      </c>
      <c r="F2" s="166" t="s">
        <v>132</v>
      </c>
      <c r="G2" s="166" t="s">
        <v>133</v>
      </c>
      <c r="H2" s="166" t="s">
        <v>134</v>
      </c>
      <c r="I2" s="166" t="s">
        <v>135</v>
      </c>
      <c r="J2" s="166" t="s">
        <v>124</v>
      </c>
      <c r="K2" s="166" t="s">
        <v>125</v>
      </c>
      <c r="L2" s="166" t="s">
        <v>126</v>
      </c>
      <c r="M2" s="166" t="s">
        <v>127</v>
      </c>
      <c r="N2" s="166" t="s">
        <v>128</v>
      </c>
      <c r="O2" s="166" t="s">
        <v>129</v>
      </c>
      <c r="P2" s="166" t="s">
        <v>471</v>
      </c>
      <c r="Q2" s="337">
        <f>+P3+P5</f>
        <v>7788</v>
      </c>
      <c r="R2" s="338" t="s">
        <v>472</v>
      </c>
      <c r="S2" s="338" t="s">
        <v>473</v>
      </c>
      <c r="U2">
        <v>7052</v>
      </c>
    </row>
    <row r="3" spans="1:32" ht="15" customHeight="1" thickBot="1" x14ac:dyDescent="0.3">
      <c r="A3" s="1017" t="s">
        <v>290</v>
      </c>
      <c r="B3" s="1019" t="s">
        <v>474</v>
      </c>
      <c r="C3" s="339" t="s">
        <v>475</v>
      </c>
      <c r="D3" s="340">
        <v>0</v>
      </c>
      <c r="E3" s="323">
        <v>47</v>
      </c>
      <c r="F3" s="323">
        <v>367</v>
      </c>
      <c r="G3" s="323">
        <v>700</v>
      </c>
      <c r="H3" s="323">
        <v>830</v>
      </c>
      <c r="I3" s="323">
        <v>830</v>
      </c>
      <c r="J3" s="323">
        <v>830</v>
      </c>
      <c r="K3" s="323">
        <v>830</v>
      </c>
      <c r="L3" s="323">
        <v>830</v>
      </c>
      <c r="M3" s="323">
        <v>830</v>
      </c>
      <c r="N3" s="323">
        <v>723</v>
      </c>
      <c r="O3" s="323">
        <v>400</v>
      </c>
      <c r="P3" s="341">
        <f>SUM(D3:O3)</f>
        <v>7217</v>
      </c>
      <c r="Q3" s="1021">
        <f>+P4/Q2</f>
        <v>0.90549563430919366</v>
      </c>
      <c r="R3" s="1023">
        <f>+Q3+Q5</f>
        <v>0.97881355932203395</v>
      </c>
      <c r="S3" s="1025">
        <f>+R3</f>
        <v>0.97881355932203395</v>
      </c>
      <c r="U3" s="431">
        <f>+U2-P3</f>
        <v>-165</v>
      </c>
      <c r="V3" s="394"/>
      <c r="W3" s="357">
        <f>+P4+P6</f>
        <v>7623</v>
      </c>
    </row>
    <row r="4" spans="1:32" ht="14.85" customHeight="1" thickBot="1" x14ac:dyDescent="0.3">
      <c r="A4" s="1018"/>
      <c r="B4" s="1020"/>
      <c r="C4" s="342" t="s">
        <v>476</v>
      </c>
      <c r="D4" s="343">
        <v>0</v>
      </c>
      <c r="E4" s="344">
        <v>47</v>
      </c>
      <c r="F4" s="344">
        <v>367</v>
      </c>
      <c r="G4" s="344">
        <v>1103</v>
      </c>
      <c r="H4" s="344">
        <v>929</v>
      </c>
      <c r="I4" s="344">
        <v>925</v>
      </c>
      <c r="J4" s="344">
        <v>842</v>
      </c>
      <c r="K4" s="432">
        <v>341</v>
      </c>
      <c r="L4" s="344">
        <v>682</v>
      </c>
      <c r="M4" s="344">
        <v>700</v>
      </c>
      <c r="N4" s="344">
        <v>814</v>
      </c>
      <c r="O4" s="344">
        <v>302</v>
      </c>
      <c r="P4" s="341">
        <f>SUM(D4:O4)</f>
        <v>7052</v>
      </c>
      <c r="Q4" s="1022"/>
      <c r="R4" s="1024"/>
      <c r="S4" s="1026"/>
      <c r="T4" s="345"/>
      <c r="U4" s="520">
        <f>+U2/P3</f>
        <v>0.97713731467368714</v>
      </c>
      <c r="V4" s="394"/>
    </row>
    <row r="5" spans="1:32" ht="18.75" thickBot="1" x14ac:dyDescent="0.3">
      <c r="A5" s="1018"/>
      <c r="B5" s="346"/>
      <c r="C5" s="339" t="s">
        <v>475</v>
      </c>
      <c r="D5" s="347">
        <v>99</v>
      </c>
      <c r="E5" s="347">
        <v>131</v>
      </c>
      <c r="F5" s="347">
        <v>233</v>
      </c>
      <c r="G5" s="347">
        <v>103</v>
      </c>
      <c r="H5" s="347">
        <v>5</v>
      </c>
      <c r="I5" s="347">
        <v>0</v>
      </c>
      <c r="J5" s="347">
        <v>0</v>
      </c>
      <c r="K5" s="347">
        <v>0</v>
      </c>
      <c r="L5" s="347">
        <v>0</v>
      </c>
      <c r="M5" s="347">
        <v>0</v>
      </c>
      <c r="N5" s="347">
        <v>0</v>
      </c>
      <c r="O5" s="347">
        <v>0</v>
      </c>
      <c r="P5" s="341">
        <f>SUM(D5:O5)</f>
        <v>571</v>
      </c>
      <c r="Q5" s="1021">
        <f>+P6/Q2</f>
        <v>7.3317925012840263E-2</v>
      </c>
      <c r="R5" s="1024"/>
      <c r="S5" s="1026"/>
      <c r="W5">
        <v>7218</v>
      </c>
    </row>
    <row r="6" spans="1:32" ht="15" customHeight="1" x14ac:dyDescent="0.25">
      <c r="A6" s="1018"/>
      <c r="B6" s="348"/>
      <c r="C6" s="342" t="s">
        <v>476</v>
      </c>
      <c r="D6" s="323">
        <v>99</v>
      </c>
      <c r="E6" s="323">
        <v>131</v>
      </c>
      <c r="F6" s="323">
        <v>233</v>
      </c>
      <c r="G6" s="343">
        <f>566-463</f>
        <v>103</v>
      </c>
      <c r="H6" s="343">
        <v>3</v>
      </c>
      <c r="I6" s="343">
        <v>2</v>
      </c>
      <c r="J6" s="343">
        <v>0</v>
      </c>
      <c r="K6" s="343">
        <v>0</v>
      </c>
      <c r="L6" s="343">
        <v>0</v>
      </c>
      <c r="M6" s="343"/>
      <c r="N6" s="343"/>
      <c r="O6" s="343"/>
      <c r="P6" s="349">
        <f>+D6+E6+F6+G6+H6+I6</f>
        <v>571</v>
      </c>
      <c r="Q6" s="1022"/>
      <c r="R6" s="1024"/>
      <c r="S6" s="1026"/>
      <c r="T6" s="350"/>
      <c r="U6" s="431">
        <f>+U2-P4</f>
        <v>0</v>
      </c>
      <c r="W6" s="431">
        <f>+W5-P4</f>
        <v>166</v>
      </c>
    </row>
    <row r="7" spans="1:32" x14ac:dyDescent="0.25">
      <c r="A7" s="166"/>
      <c r="D7" s="351">
        <f>+D8+D11+D14</f>
        <v>0</v>
      </c>
      <c r="E7" s="351">
        <f>+E8+E11+E14</f>
        <v>1.3320000000000001</v>
      </c>
      <c r="F7" s="351">
        <f t="shared" ref="F7:O7" si="0">+F8+F11+F14</f>
        <v>1.2239999999999998</v>
      </c>
      <c r="G7" s="351">
        <f t="shared" si="0"/>
        <v>3.492</v>
      </c>
      <c r="H7" s="351">
        <f t="shared" si="0"/>
        <v>3.6179999999999994</v>
      </c>
      <c r="I7" s="351">
        <f t="shared" si="0"/>
        <v>3.8699999999999997</v>
      </c>
      <c r="J7" s="351">
        <f t="shared" si="0"/>
        <v>3.8699999999999997</v>
      </c>
      <c r="K7" s="351">
        <f t="shared" si="0"/>
        <v>3.8699999999999997</v>
      </c>
      <c r="L7" s="351">
        <f t="shared" si="0"/>
        <v>3.8699999999999997</v>
      </c>
      <c r="M7" s="351">
        <f t="shared" si="0"/>
        <v>3.8699999999999997</v>
      </c>
      <c r="N7" s="351">
        <f t="shared" si="0"/>
        <v>3.8699999999999997</v>
      </c>
      <c r="O7" s="351">
        <f t="shared" si="0"/>
        <v>3.1139999999999999</v>
      </c>
      <c r="P7" s="341">
        <f>SUM(P3:P6)</f>
        <v>15411</v>
      </c>
    </row>
    <row r="8" spans="1:32" ht="16.5" thickBot="1" x14ac:dyDescent="0.3">
      <c r="A8" s="352"/>
      <c r="B8" s="353"/>
      <c r="C8" s="353"/>
      <c r="D8" s="354">
        <f>+((D9*$Q$8))*0.3</f>
        <v>0</v>
      </c>
      <c r="E8" s="354">
        <f t="shared" ref="E8:O8" si="1">+((E9*$Q$8))*0.3</f>
        <v>1.08</v>
      </c>
      <c r="F8" s="354">
        <f t="shared" si="1"/>
        <v>0.97199999999999986</v>
      </c>
      <c r="G8" s="354">
        <f t="shared" si="1"/>
        <v>0.97199999999999986</v>
      </c>
      <c r="H8" s="354">
        <f t="shared" si="1"/>
        <v>0.97199999999999986</v>
      </c>
      <c r="I8" s="354">
        <f t="shared" si="1"/>
        <v>0.97199999999999986</v>
      </c>
      <c r="J8" s="354">
        <f t="shared" si="1"/>
        <v>0.97199999999999986</v>
      </c>
      <c r="K8" s="354">
        <f t="shared" si="1"/>
        <v>0.97199999999999986</v>
      </c>
      <c r="L8" s="354">
        <f t="shared" si="1"/>
        <v>0.97199999999999986</v>
      </c>
      <c r="M8" s="354">
        <f t="shared" si="1"/>
        <v>0.97199999999999986</v>
      </c>
      <c r="N8" s="354">
        <f t="shared" si="1"/>
        <v>0.97199999999999986</v>
      </c>
      <c r="O8" s="354">
        <f t="shared" si="1"/>
        <v>0.97199999999999986</v>
      </c>
      <c r="P8" s="355">
        <f>SUM(D8:O8)</f>
        <v>10.799999999999997</v>
      </c>
      <c r="Q8" s="356">
        <v>36</v>
      </c>
      <c r="R8" s="166" t="s">
        <v>472</v>
      </c>
      <c r="S8" t="s">
        <v>473</v>
      </c>
      <c r="T8" s="357">
        <f>+E4+E6+D6+F4+F6</f>
        <v>877</v>
      </c>
    </row>
    <row r="9" spans="1:32" ht="24.95" customHeight="1" x14ac:dyDescent="0.25">
      <c r="A9" s="1009" t="s">
        <v>291</v>
      </c>
      <c r="B9" s="1011" t="s">
        <v>438</v>
      </c>
      <c r="C9" s="339" t="s">
        <v>475</v>
      </c>
      <c r="D9" s="358">
        <v>0</v>
      </c>
      <c r="E9" s="358">
        <v>0.1</v>
      </c>
      <c r="F9" s="358">
        <v>0.09</v>
      </c>
      <c r="G9" s="358">
        <v>0.09</v>
      </c>
      <c r="H9" s="358">
        <v>0.09</v>
      </c>
      <c r="I9" s="358">
        <v>0.09</v>
      </c>
      <c r="J9" s="358">
        <v>0.09</v>
      </c>
      <c r="K9" s="358">
        <v>0.09</v>
      </c>
      <c r="L9" s="358">
        <v>0.09</v>
      </c>
      <c r="M9" s="358">
        <v>0.09</v>
      </c>
      <c r="N9" s="358">
        <v>0.09</v>
      </c>
      <c r="O9" s="358">
        <v>0.09</v>
      </c>
      <c r="P9" s="359">
        <f t="shared" ref="P9:P15" si="2">SUM(D9:O9)</f>
        <v>0.99999999999999978</v>
      </c>
      <c r="Q9" s="1007">
        <f>+((P10*$Q$8))*0.3</f>
        <v>10.799999999999997</v>
      </c>
      <c r="R9" s="1013">
        <f>+Q9+Q12+Q15</f>
        <v>36</v>
      </c>
      <c r="S9" s="1014">
        <f>+(P10*0.3)+(P13*0.35)+P16*0.35</f>
        <v>0.99999999999999989</v>
      </c>
    </row>
    <row r="10" spans="1:32" ht="24.95" customHeight="1" x14ac:dyDescent="0.25">
      <c r="A10" s="1010"/>
      <c r="B10" s="1012"/>
      <c r="C10" s="360" t="s">
        <v>476</v>
      </c>
      <c r="D10" s="361">
        <v>0</v>
      </c>
      <c r="E10" s="361">
        <v>0.1</v>
      </c>
      <c r="F10" s="361">
        <v>0.09</v>
      </c>
      <c r="G10" s="361">
        <v>0.09</v>
      </c>
      <c r="H10" s="361">
        <v>0.09</v>
      </c>
      <c r="I10" s="361">
        <v>0.09</v>
      </c>
      <c r="J10" s="361">
        <v>0.09</v>
      </c>
      <c r="K10" s="361">
        <v>0.09</v>
      </c>
      <c r="L10" s="361">
        <v>0.09</v>
      </c>
      <c r="M10" s="361">
        <v>0.09</v>
      </c>
      <c r="N10" s="361">
        <v>0.09</v>
      </c>
      <c r="O10" s="361">
        <v>0.09</v>
      </c>
      <c r="P10" s="362">
        <f>SUM(D10:O10)</f>
        <v>0.99999999999999978</v>
      </c>
      <c r="Q10" s="1008"/>
      <c r="R10" s="1013"/>
      <c r="S10" s="1014"/>
    </row>
    <row r="11" spans="1:32" ht="24.95" customHeight="1" thickBot="1" x14ac:dyDescent="0.3">
      <c r="A11" s="1010"/>
      <c r="B11" s="363"/>
      <c r="C11" s="364"/>
      <c r="D11" s="354">
        <f>+((D12*$Q$8)*0.35)</f>
        <v>0</v>
      </c>
      <c r="E11" s="354">
        <f t="shared" ref="E11:O11" si="3">+((E12*$Q$8)*0.35)</f>
        <v>0</v>
      </c>
      <c r="F11" s="354">
        <f t="shared" si="3"/>
        <v>0</v>
      </c>
      <c r="G11" s="354">
        <f t="shared" si="3"/>
        <v>1.26</v>
      </c>
      <c r="H11" s="354">
        <f t="shared" si="3"/>
        <v>1.3859999999999999</v>
      </c>
      <c r="I11" s="354">
        <f t="shared" si="3"/>
        <v>1.3859999999999999</v>
      </c>
      <c r="J11" s="354">
        <f t="shared" si="3"/>
        <v>1.3859999999999999</v>
      </c>
      <c r="K11" s="354">
        <f t="shared" si="3"/>
        <v>1.3859999999999999</v>
      </c>
      <c r="L11" s="354">
        <f t="shared" si="3"/>
        <v>1.3859999999999999</v>
      </c>
      <c r="M11" s="354">
        <f t="shared" si="3"/>
        <v>1.3859999999999999</v>
      </c>
      <c r="N11" s="354">
        <f t="shared" si="3"/>
        <v>1.3859999999999999</v>
      </c>
      <c r="O11" s="354">
        <f t="shared" si="3"/>
        <v>1.6379999999999999</v>
      </c>
      <c r="P11" s="365">
        <f t="shared" si="2"/>
        <v>12.599999999999998</v>
      </c>
      <c r="Q11" s="366"/>
      <c r="R11" s="1013"/>
      <c r="S11" s="1014"/>
    </row>
    <row r="12" spans="1:32" ht="24.95" customHeight="1" x14ac:dyDescent="0.25">
      <c r="A12" s="1010"/>
      <c r="B12" s="1011" t="s">
        <v>443</v>
      </c>
      <c r="C12" s="339" t="s">
        <v>475</v>
      </c>
      <c r="D12" s="358">
        <v>0</v>
      </c>
      <c r="E12" s="358">
        <v>0</v>
      </c>
      <c r="F12" s="358">
        <v>0</v>
      </c>
      <c r="G12" s="358">
        <v>0.1</v>
      </c>
      <c r="H12" s="358">
        <v>0.11</v>
      </c>
      <c r="I12" s="358">
        <v>0.11</v>
      </c>
      <c r="J12" s="358">
        <v>0.11</v>
      </c>
      <c r="K12" s="358">
        <v>0.11</v>
      </c>
      <c r="L12" s="358">
        <v>0.11</v>
      </c>
      <c r="M12" s="358">
        <v>0.11</v>
      </c>
      <c r="N12" s="358">
        <v>0.11</v>
      </c>
      <c r="O12" s="358">
        <v>0.13</v>
      </c>
      <c r="P12" s="367">
        <f t="shared" si="2"/>
        <v>1</v>
      </c>
      <c r="Q12" s="1007">
        <f>+((P13*$Q$8)*0.35)</f>
        <v>12.6</v>
      </c>
      <c r="R12" s="1013"/>
      <c r="S12" s="1014"/>
      <c r="U12" s="337">
        <f t="shared" ref="U12:AF12" si="4">+E8+E11+E14</f>
        <v>1.3320000000000001</v>
      </c>
      <c r="V12" s="337">
        <f t="shared" si="4"/>
        <v>1.2239999999999998</v>
      </c>
      <c r="W12" s="337">
        <f t="shared" si="4"/>
        <v>3.492</v>
      </c>
      <c r="X12" s="337">
        <f t="shared" si="4"/>
        <v>3.6179999999999994</v>
      </c>
      <c r="Y12" s="337">
        <f t="shared" si="4"/>
        <v>3.8699999999999997</v>
      </c>
      <c r="Z12" s="337">
        <f t="shared" si="4"/>
        <v>3.8699999999999997</v>
      </c>
      <c r="AA12" s="337">
        <f t="shared" si="4"/>
        <v>3.8699999999999997</v>
      </c>
      <c r="AB12" s="337">
        <f t="shared" si="4"/>
        <v>3.8699999999999997</v>
      </c>
      <c r="AC12" s="337">
        <f t="shared" si="4"/>
        <v>3.8699999999999997</v>
      </c>
      <c r="AD12" s="337">
        <f t="shared" si="4"/>
        <v>3.8699999999999997</v>
      </c>
      <c r="AE12" s="337">
        <f t="shared" si="4"/>
        <v>3.1139999999999999</v>
      </c>
      <c r="AF12" s="337">
        <f t="shared" si="4"/>
        <v>36</v>
      </c>
    </row>
    <row r="13" spans="1:32" ht="24.95" customHeight="1" x14ac:dyDescent="0.25">
      <c r="A13" s="1010"/>
      <c r="B13" s="1012"/>
      <c r="C13" s="368" t="s">
        <v>476</v>
      </c>
      <c r="D13" s="361">
        <v>0</v>
      </c>
      <c r="E13" s="361">
        <v>0</v>
      </c>
      <c r="F13" s="361">
        <v>0</v>
      </c>
      <c r="G13" s="361">
        <v>0.1</v>
      </c>
      <c r="H13" s="361">
        <v>0.11</v>
      </c>
      <c r="I13" s="361">
        <v>0.11</v>
      </c>
      <c r="J13" s="361">
        <v>0.11</v>
      </c>
      <c r="K13" s="361">
        <v>0.11</v>
      </c>
      <c r="L13" s="361">
        <v>0.11</v>
      </c>
      <c r="M13" s="361">
        <v>0.09</v>
      </c>
      <c r="N13" s="361">
        <v>0.13</v>
      </c>
      <c r="O13" s="361">
        <v>0.13</v>
      </c>
      <c r="P13" s="369">
        <f>SUM(D13:O13)</f>
        <v>1</v>
      </c>
      <c r="Q13" s="1008"/>
      <c r="R13" s="1013"/>
      <c r="S13" s="1014"/>
      <c r="U13">
        <f>25.14-28.76</f>
        <v>-3.620000000000001</v>
      </c>
    </row>
    <row r="14" spans="1:32" ht="24.95" customHeight="1" thickBot="1" x14ac:dyDescent="0.3">
      <c r="A14" s="1010"/>
      <c r="B14" s="370"/>
      <c r="C14" s="371"/>
      <c r="D14" s="354">
        <f>+((D15*$Q$8)*0.35)</f>
        <v>0</v>
      </c>
      <c r="E14" s="354">
        <f t="shared" ref="E14:O14" si="5">+((E15*$Q$8)*0.35)</f>
        <v>0.252</v>
      </c>
      <c r="F14" s="354">
        <f t="shared" si="5"/>
        <v>0.252</v>
      </c>
      <c r="G14" s="354">
        <f t="shared" si="5"/>
        <v>1.26</v>
      </c>
      <c r="H14" s="354">
        <f t="shared" si="5"/>
        <v>1.26</v>
      </c>
      <c r="I14" s="354">
        <f t="shared" si="5"/>
        <v>1.512</v>
      </c>
      <c r="J14" s="354">
        <f t="shared" si="5"/>
        <v>1.512</v>
      </c>
      <c r="K14" s="354">
        <f t="shared" si="5"/>
        <v>1.512</v>
      </c>
      <c r="L14" s="354">
        <f t="shared" si="5"/>
        <v>1.512</v>
      </c>
      <c r="M14" s="354">
        <f t="shared" si="5"/>
        <v>1.512</v>
      </c>
      <c r="N14" s="354">
        <f t="shared" si="5"/>
        <v>1.512</v>
      </c>
      <c r="O14" s="354">
        <f t="shared" si="5"/>
        <v>0.504</v>
      </c>
      <c r="P14" s="365">
        <f t="shared" si="2"/>
        <v>12.600000000000001</v>
      </c>
      <c r="Q14" s="365"/>
      <c r="R14" s="1013"/>
      <c r="S14" s="1014"/>
    </row>
    <row r="15" spans="1:32" ht="24.95" customHeight="1" x14ac:dyDescent="0.25">
      <c r="A15" s="1010"/>
      <c r="B15" s="1011" t="s">
        <v>445</v>
      </c>
      <c r="C15" s="339" t="s">
        <v>475</v>
      </c>
      <c r="D15" s="358">
        <v>0</v>
      </c>
      <c r="E15" s="358">
        <v>0.02</v>
      </c>
      <c r="F15" s="358">
        <v>0.02</v>
      </c>
      <c r="G15" s="358">
        <v>0.1</v>
      </c>
      <c r="H15" s="358">
        <v>0.1</v>
      </c>
      <c r="I15" s="358">
        <v>0.12</v>
      </c>
      <c r="J15" s="358">
        <v>0.12</v>
      </c>
      <c r="K15" s="358">
        <v>0.12</v>
      </c>
      <c r="L15" s="358">
        <v>0.12</v>
      </c>
      <c r="M15" s="358">
        <v>0.12</v>
      </c>
      <c r="N15" s="358">
        <v>0.12</v>
      </c>
      <c r="O15" s="358">
        <v>0.04</v>
      </c>
      <c r="P15" s="367">
        <f t="shared" si="2"/>
        <v>1</v>
      </c>
      <c r="Q15" s="1007">
        <f>+((P16*$Q$8)*0.35)</f>
        <v>12.6</v>
      </c>
      <c r="R15" s="1013"/>
      <c r="S15" s="1014"/>
    </row>
    <row r="16" spans="1:32" ht="24.95" customHeight="1" x14ac:dyDescent="0.25">
      <c r="A16" s="1010"/>
      <c r="B16" s="1012"/>
      <c r="C16" s="368" t="s">
        <v>476</v>
      </c>
      <c r="D16" s="372">
        <v>0</v>
      </c>
      <c r="E16" s="373">
        <v>0.02</v>
      </c>
      <c r="F16" s="373">
        <v>0.02</v>
      </c>
      <c r="G16" s="373">
        <v>0.1</v>
      </c>
      <c r="H16" s="373">
        <v>0.1</v>
      </c>
      <c r="I16" s="373">
        <v>0.12</v>
      </c>
      <c r="J16" s="373">
        <v>0.12</v>
      </c>
      <c r="K16" s="373">
        <v>0.12</v>
      </c>
      <c r="L16" s="373">
        <v>0.12</v>
      </c>
      <c r="M16" s="373">
        <v>0.12</v>
      </c>
      <c r="N16" s="373">
        <v>0.12</v>
      </c>
      <c r="O16" s="373">
        <v>0.04</v>
      </c>
      <c r="P16" s="369">
        <f>SUM(D16:O16)</f>
        <v>1</v>
      </c>
      <c r="Q16" s="1008"/>
      <c r="R16" s="1013"/>
      <c r="S16" s="1014"/>
    </row>
    <row r="17" spans="1:34" ht="14.85" customHeight="1" x14ac:dyDescent="0.25">
      <c r="A17" s="374"/>
      <c r="B17" s="375"/>
      <c r="C17" s="1015"/>
      <c r="D17" s="1016"/>
      <c r="E17" s="376"/>
      <c r="F17" s="376"/>
      <c r="G17" s="376"/>
      <c r="H17" s="376"/>
      <c r="I17" s="376"/>
      <c r="J17" s="376"/>
      <c r="K17" s="376"/>
      <c r="L17" s="376"/>
      <c r="M17" s="376"/>
      <c r="N17" s="376"/>
      <c r="O17" s="376"/>
      <c r="P17" s="376"/>
      <c r="Q17" s="356">
        <v>27</v>
      </c>
      <c r="R17" s="377"/>
    </row>
    <row r="18" spans="1:34" ht="14.85" customHeight="1" x14ac:dyDescent="0.25">
      <c r="A18" s="1010" t="s">
        <v>292</v>
      </c>
      <c r="B18" s="378"/>
      <c r="C18" s="379"/>
      <c r="D18" s="380">
        <f>+((D19*$Q$17)*0.5)</f>
        <v>0</v>
      </c>
      <c r="E18" s="380">
        <f>+((E19*$Q$17)*0.5)</f>
        <v>2.7</v>
      </c>
      <c r="F18" s="380">
        <f>+((F19*$Q$17)*0.5)</f>
        <v>2.7</v>
      </c>
      <c r="G18" s="380">
        <f>+((G19*$Q$17)*0.5)</f>
        <v>4.05</v>
      </c>
      <c r="H18" s="380">
        <f>+((H19*$Q$17)*0.5)</f>
        <v>4.05</v>
      </c>
      <c r="I18" s="380">
        <f t="shared" ref="I18:O18" si="6">+((I19*$Q$17)*0.5)</f>
        <v>0</v>
      </c>
      <c r="J18" s="380">
        <f t="shared" si="6"/>
        <v>0</v>
      </c>
      <c r="K18" s="380">
        <f t="shared" si="6"/>
        <v>0</v>
      </c>
      <c r="L18" s="380">
        <f t="shared" si="6"/>
        <v>0</v>
      </c>
      <c r="M18" s="380">
        <f t="shared" si="6"/>
        <v>0</v>
      </c>
      <c r="N18" s="380">
        <f t="shared" si="6"/>
        <v>0</v>
      </c>
      <c r="O18" s="380">
        <f t="shared" si="6"/>
        <v>0</v>
      </c>
      <c r="P18" s="365">
        <f>SUM(D18:O18)</f>
        <v>13.5</v>
      </c>
      <c r="Q18" s="365"/>
      <c r="R18" s="338" t="s">
        <v>472</v>
      </c>
      <c r="S18" s="338" t="s">
        <v>473</v>
      </c>
    </row>
    <row r="19" spans="1:34" ht="14.45" customHeight="1" x14ac:dyDescent="0.25">
      <c r="A19" s="1010"/>
      <c r="B19" s="1006" t="s">
        <v>477</v>
      </c>
      <c r="C19" s="381" t="s">
        <v>475</v>
      </c>
      <c r="D19" s="382">
        <v>0</v>
      </c>
      <c r="E19" s="382">
        <v>0.2</v>
      </c>
      <c r="F19" s="382">
        <v>0.2</v>
      </c>
      <c r="G19" s="382">
        <v>0.3</v>
      </c>
      <c r="H19" s="382">
        <v>0.3</v>
      </c>
      <c r="I19" s="382"/>
      <c r="J19" s="383"/>
      <c r="K19" s="383"/>
      <c r="L19" s="383"/>
      <c r="M19" s="383"/>
      <c r="N19" s="383"/>
      <c r="O19" s="383"/>
      <c r="P19" s="384">
        <f>SUM(E19:O19)</f>
        <v>1</v>
      </c>
      <c r="Q19" s="1007">
        <f>+((P20*$Q$17)*0.5)</f>
        <v>13.5</v>
      </c>
      <c r="R19" s="999">
        <f>+Q19+Q22</f>
        <v>27</v>
      </c>
      <c r="S19" s="1005">
        <f>+P20*0.5+P23*0.5</f>
        <v>1</v>
      </c>
      <c r="U19" s="337">
        <f t="shared" ref="U19:Z19" si="7">+F18+F21</f>
        <v>3.915</v>
      </c>
      <c r="V19" s="337">
        <f t="shared" si="7"/>
        <v>5.2649999999999997</v>
      </c>
      <c r="W19" s="337">
        <f t="shared" si="7"/>
        <v>5.2649999999999997</v>
      </c>
      <c r="X19" s="337">
        <f t="shared" si="7"/>
        <v>1.2149999999999999</v>
      </c>
      <c r="Y19" s="337">
        <f t="shared" si="7"/>
        <v>1.2149999999999999</v>
      </c>
      <c r="Z19" s="337">
        <f t="shared" si="7"/>
        <v>1.2149999999999999</v>
      </c>
    </row>
    <row r="20" spans="1:34" ht="14.45" customHeight="1" x14ac:dyDescent="0.25">
      <c r="A20" s="1010"/>
      <c r="B20" s="1006"/>
      <c r="C20" s="385" t="s">
        <v>476</v>
      </c>
      <c r="D20" s="383">
        <v>0</v>
      </c>
      <c r="E20" s="383">
        <v>0.2</v>
      </c>
      <c r="F20" s="383">
        <v>0.2</v>
      </c>
      <c r="G20" s="383">
        <v>0.3</v>
      </c>
      <c r="H20" s="383">
        <v>0.3</v>
      </c>
      <c r="I20" s="383"/>
      <c r="J20" s="383"/>
      <c r="K20" s="383"/>
      <c r="L20" s="383"/>
      <c r="M20" s="383"/>
      <c r="N20" s="383"/>
      <c r="O20" s="383"/>
      <c r="P20" s="384">
        <f>SUM(D20:O20)</f>
        <v>1</v>
      </c>
      <c r="Q20" s="1008"/>
      <c r="R20" s="999"/>
      <c r="S20" s="1005"/>
    </row>
    <row r="21" spans="1:34" ht="15.75" x14ac:dyDescent="0.25">
      <c r="A21" s="1010"/>
      <c r="B21" s="378"/>
      <c r="C21" s="379"/>
      <c r="D21" s="380">
        <f>+((D22*$Q$17)*0.5)</f>
        <v>0</v>
      </c>
      <c r="E21" s="380">
        <f t="shared" ref="E21:O21" si="8">+((E22*$Q$17)*0.5)</f>
        <v>0</v>
      </c>
      <c r="F21" s="380">
        <f t="shared" si="8"/>
        <v>1.2149999999999999</v>
      </c>
      <c r="G21" s="380">
        <f t="shared" si="8"/>
        <v>1.2149999999999999</v>
      </c>
      <c r="H21" s="380">
        <f t="shared" si="8"/>
        <v>1.2149999999999999</v>
      </c>
      <c r="I21" s="380">
        <f t="shared" si="8"/>
        <v>1.2149999999999999</v>
      </c>
      <c r="J21" s="380">
        <f t="shared" si="8"/>
        <v>1.2149999999999999</v>
      </c>
      <c r="K21" s="380">
        <f t="shared" si="8"/>
        <v>1.2149999999999999</v>
      </c>
      <c r="L21" s="380">
        <f t="shared" si="8"/>
        <v>1.6199999999999999</v>
      </c>
      <c r="M21" s="380">
        <f t="shared" si="8"/>
        <v>1.6199999999999999</v>
      </c>
      <c r="N21" s="380">
        <f t="shared" si="8"/>
        <v>1.6199999999999999</v>
      </c>
      <c r="O21" s="380">
        <f t="shared" si="8"/>
        <v>1.35</v>
      </c>
      <c r="P21" s="365">
        <f>SUM(D21:O21)</f>
        <v>13.499999999999996</v>
      </c>
      <c r="Q21" s="365"/>
      <c r="R21" s="999"/>
      <c r="S21" s="1005"/>
      <c r="U21">
        <f>22.44-24.03</f>
        <v>-1.5899999999999999</v>
      </c>
    </row>
    <row r="22" spans="1:34" ht="15.6" customHeight="1" x14ac:dyDescent="0.25">
      <c r="A22" s="1010"/>
      <c r="B22" s="1006" t="s">
        <v>478</v>
      </c>
      <c r="C22" s="381" t="s">
        <v>475</v>
      </c>
      <c r="D22" s="382">
        <v>0</v>
      </c>
      <c r="E22" s="382">
        <v>0</v>
      </c>
      <c r="F22" s="382">
        <v>0.09</v>
      </c>
      <c r="G22" s="382">
        <v>0.09</v>
      </c>
      <c r="H22" s="382">
        <v>0.09</v>
      </c>
      <c r="I22" s="382">
        <v>0.09</v>
      </c>
      <c r="J22" s="382">
        <v>0.09</v>
      </c>
      <c r="K22" s="382">
        <v>0.09</v>
      </c>
      <c r="L22" s="382">
        <v>0.12</v>
      </c>
      <c r="M22" s="382">
        <v>0.12</v>
      </c>
      <c r="N22" s="382">
        <v>0.12</v>
      </c>
      <c r="O22" s="382">
        <v>0.1</v>
      </c>
      <c r="P22" s="384">
        <f>SUM(D22:O22)</f>
        <v>0.99999999999999989</v>
      </c>
      <c r="Q22" s="1007">
        <f>+((P23*$Q$17)*0.5)</f>
        <v>13.499999999999998</v>
      </c>
      <c r="R22" s="999"/>
      <c r="S22" s="1005"/>
    </row>
    <row r="23" spans="1:34" ht="15.6" customHeight="1" x14ac:dyDescent="0.25">
      <c r="A23" s="1010"/>
      <c r="B23" s="1006"/>
      <c r="C23" s="385" t="s">
        <v>476</v>
      </c>
      <c r="D23" s="383">
        <v>0</v>
      </c>
      <c r="E23" s="383">
        <v>0</v>
      </c>
      <c r="F23" s="383">
        <v>0.09</v>
      </c>
      <c r="G23" s="383">
        <v>0.09</v>
      </c>
      <c r="H23" s="383">
        <v>0.09</v>
      </c>
      <c r="I23" s="383">
        <v>0.09</v>
      </c>
      <c r="J23" s="383">
        <v>0.09</v>
      </c>
      <c r="K23" s="383">
        <v>0.09</v>
      </c>
      <c r="L23" s="383">
        <v>0.12</v>
      </c>
      <c r="M23" s="383">
        <v>0.12</v>
      </c>
      <c r="N23" s="383">
        <v>0.12</v>
      </c>
      <c r="O23" s="383">
        <v>0.1</v>
      </c>
      <c r="P23" s="384">
        <f>SUM(D23:O23)</f>
        <v>0.99999999999999989</v>
      </c>
      <c r="Q23" s="1008"/>
      <c r="R23" s="999"/>
      <c r="S23" s="1005"/>
    </row>
    <row r="24" spans="1:34" ht="27" customHeight="1" x14ac:dyDescent="0.25">
      <c r="A24" s="1000" t="s">
        <v>479</v>
      </c>
      <c r="B24" s="1000"/>
      <c r="C24" s="1001" t="s">
        <v>480</v>
      </c>
      <c r="D24" s="1001"/>
      <c r="E24" s="1001"/>
      <c r="F24" s="1001"/>
      <c r="G24" s="1002" t="s">
        <v>481</v>
      </c>
      <c r="H24" s="1003"/>
      <c r="I24" s="345">
        <v>1</v>
      </c>
      <c r="J24">
        <v>0.27</v>
      </c>
    </row>
    <row r="25" spans="1:34" ht="45.6" customHeight="1" x14ac:dyDescent="0.25">
      <c r="A25" s="1000" t="s">
        <v>259</v>
      </c>
      <c r="B25" s="1000"/>
      <c r="C25" s="1004" t="s">
        <v>290</v>
      </c>
      <c r="D25" s="1004"/>
      <c r="E25" s="1004"/>
      <c r="F25" s="1004"/>
      <c r="G25" s="386">
        <f>+S3</f>
        <v>0.97881355932203395</v>
      </c>
      <c r="H25" s="387">
        <f>+((G25*$J$24)/$I$24)*0.6</f>
        <v>0.15856779661016948</v>
      </c>
      <c r="K25" s="388"/>
      <c r="L25" s="388"/>
      <c r="M25" s="388"/>
    </row>
    <row r="26" spans="1:34" ht="35.1" customHeight="1" x14ac:dyDescent="0.25">
      <c r="A26" s="1000"/>
      <c r="B26" s="1000"/>
      <c r="C26" s="1004" t="s">
        <v>291</v>
      </c>
      <c r="D26" s="1004"/>
      <c r="E26" s="1004"/>
      <c r="F26" s="1004"/>
      <c r="G26" s="389">
        <f>+S9</f>
        <v>0.99999999999999989</v>
      </c>
      <c r="H26" s="387">
        <f>+((G26*$J$24)/$I$24)*0.2</f>
        <v>5.3999999999999992E-2</v>
      </c>
      <c r="K26" s="388"/>
      <c r="L26" s="388"/>
      <c r="M26" s="388"/>
    </row>
    <row r="27" spans="1:34" ht="35.1" customHeight="1" x14ac:dyDescent="0.25">
      <c r="A27" s="1000"/>
      <c r="B27" s="1000"/>
      <c r="C27" s="1004" t="s">
        <v>292</v>
      </c>
      <c r="D27" s="1004"/>
      <c r="E27" s="1004"/>
      <c r="F27" s="1004"/>
      <c r="G27" s="390">
        <f>+S19</f>
        <v>1</v>
      </c>
      <c r="H27" s="387">
        <f>+((G27*$J$24)/$I$24)*0.2</f>
        <v>5.4000000000000006E-2</v>
      </c>
      <c r="K27" s="388"/>
      <c r="L27" s="388"/>
      <c r="M27" s="388"/>
    </row>
    <row r="28" spans="1:34" x14ac:dyDescent="0.25">
      <c r="A28" s="391"/>
      <c r="B28" s="391"/>
      <c r="C28" s="391"/>
      <c r="D28" s="391"/>
      <c r="E28" s="391"/>
      <c r="F28" s="391"/>
      <c r="G28" s="392"/>
      <c r="H28" s="393">
        <f>SUM(H25:H27)</f>
        <v>0.26656779661016949</v>
      </c>
      <c r="K28" s="388"/>
      <c r="L28" s="388"/>
      <c r="M28" s="388"/>
    </row>
    <row r="29" spans="1:34" x14ac:dyDescent="0.25">
      <c r="AH29" s="394"/>
    </row>
    <row r="30" spans="1:34" x14ac:dyDescent="0.25">
      <c r="O30" s="395"/>
      <c r="Q30" s="396"/>
      <c r="R30" s="396"/>
      <c r="S30" s="396"/>
      <c r="T30" s="396"/>
      <c r="U30" s="396"/>
      <c r="V30" s="396"/>
      <c r="W30" s="396"/>
      <c r="X30" s="396"/>
      <c r="Y30" s="396"/>
      <c r="Z30" s="396"/>
      <c r="AA30" s="396"/>
      <c r="AB30" s="396"/>
      <c r="AC30" s="396"/>
      <c r="AD30" s="396"/>
      <c r="AE30" s="396"/>
    </row>
  </sheetData>
  <mergeCells count="30">
    <mergeCell ref="A3:A6"/>
    <mergeCell ref="B3:B4"/>
    <mergeCell ref="Q3:Q4"/>
    <mergeCell ref="R3:R6"/>
    <mergeCell ref="S3:S6"/>
    <mergeCell ref="Q5:Q6"/>
    <mergeCell ref="S19:S23"/>
    <mergeCell ref="B22:B23"/>
    <mergeCell ref="Q22:Q23"/>
    <mergeCell ref="A9:A16"/>
    <mergeCell ref="B9:B10"/>
    <mergeCell ref="Q9:Q10"/>
    <mergeCell ref="R9:R16"/>
    <mergeCell ref="S9:S16"/>
    <mergeCell ref="B12:B13"/>
    <mergeCell ref="Q12:Q13"/>
    <mergeCell ref="B15:B16"/>
    <mergeCell ref="Q15:Q16"/>
    <mergeCell ref="C17:D17"/>
    <mergeCell ref="A18:A23"/>
    <mergeCell ref="B19:B20"/>
    <mergeCell ref="Q19:Q20"/>
    <mergeCell ref="R19:R23"/>
    <mergeCell ref="A24:B24"/>
    <mergeCell ref="C24:F24"/>
    <mergeCell ref="G24:H24"/>
    <mergeCell ref="A25:B27"/>
    <mergeCell ref="C25:F25"/>
    <mergeCell ref="C26:F26"/>
    <mergeCell ref="C27:F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CALCULO ACTIVIDADES</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2024-01-30T23:14:45Z</dcterms:modified>
</cp:coreProperties>
</file>