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fileSharing readOnlyRecommended="1"/>
  <workbookPr defaultThemeVersion="124226"/>
  <mc:AlternateContent xmlns:mc="http://schemas.openxmlformats.org/markup-compatibility/2006">
    <mc:Choice Requires="x15">
      <x15ac:absPath xmlns:x15ac="http://schemas.microsoft.com/office/spreadsheetml/2010/11/ac" url="C:\Users\marcela.reyes\Documents\ARCHIVOS SECRETARIA DE AMBIENTE\PLANES DE ACCIÓN\Bogota Humana\PROYECTOS\821\"/>
    </mc:Choice>
  </mc:AlternateContent>
  <xr:revisionPtr revIDLastSave="0" documentId="8_{05BE169F-E8E1-4462-83FA-FBA51A8BD695}" xr6:coauthVersionLast="36" xr6:coauthVersionMax="36" xr10:uidLastSave="{00000000-0000-0000-0000-000000000000}"/>
  <bookViews>
    <workbookView xWindow="0" yWindow="0" windowWidth="24000" windowHeight="10920" tabRatio="373" xr2:uid="{00000000-000D-0000-FFFF-FFFF00000000}"/>
  </bookViews>
  <sheets>
    <sheet name="GESTIÓN" sheetId="5" r:id="rId1"/>
    <sheet name="INVERSIÓN" sheetId="6" r:id="rId2"/>
    <sheet name="ACTIVIDADES " sheetId="9" r:id="rId3"/>
    <sheet name="TERRITORIALIZACIÓN" sheetId="10" r:id="rId4"/>
  </sheets>
  <externalReferences>
    <externalReference r:id="rId5"/>
  </externalReferences>
  <definedNames>
    <definedName name="_8_1_LOCALIDADES">#REF!</definedName>
    <definedName name="_xlnm.Print_Area" localSheetId="2">'ACTIVIDADES '!$A$1:$V$58</definedName>
    <definedName name="_xlnm.Print_Area" localSheetId="0">GESTIÓN!$A$1:$AQ$28</definedName>
    <definedName name="_xlnm.Print_Area" localSheetId="1">INVERSIÓN!$A$1:$AP$145</definedName>
    <definedName name="_xlnm.Print_Area" localSheetId="3">TERRITORIALIZACIÓN!$A$1:$AH$246</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 localSheetId="2">#REF!</definedName>
    <definedName name="GRUPOETNICO" localSheetId="3">#REF!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 name="_xlnm.Print_Titles" localSheetId="1">INVERSIÓN!$6:$8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245" i="10" l="1"/>
  <c r="S245" i="10"/>
  <c r="R245" i="10"/>
  <c r="Q245" i="10"/>
  <c r="P245" i="10"/>
  <c r="O245" i="10"/>
  <c r="N245" i="10"/>
  <c r="M245" i="10"/>
  <c r="L245" i="10"/>
  <c r="K245" i="10"/>
  <c r="U244" i="10"/>
  <c r="S244" i="10"/>
  <c r="R244" i="10"/>
  <c r="Q244" i="10"/>
  <c r="P244" i="10"/>
  <c r="O244" i="10"/>
  <c r="N244" i="10"/>
  <c r="M244" i="10"/>
  <c r="L244" i="10"/>
  <c r="K244" i="10"/>
  <c r="V239" i="10"/>
  <c r="U239" i="10"/>
  <c r="T239" i="10"/>
  <c r="V236" i="10"/>
  <c r="T236" i="10"/>
  <c r="E236" i="10"/>
  <c r="V233" i="10"/>
  <c r="V231" i="10"/>
  <c r="T231" i="10"/>
  <c r="E231" i="10"/>
  <c r="E239" i="10" s="1"/>
  <c r="V229" i="10"/>
  <c r="V237" i="10" s="1"/>
  <c r="T229" i="10"/>
  <c r="T237" i="10" s="1"/>
  <c r="E229" i="10"/>
  <c r="E237" i="10" s="1"/>
  <c r="U215" i="10"/>
  <c r="U213" i="10"/>
  <c r="V212" i="10"/>
  <c r="T212" i="10"/>
  <c r="E212" i="10"/>
  <c r="V211" i="10"/>
  <c r="T211" i="10"/>
  <c r="E211" i="10"/>
  <c r="V209" i="10"/>
  <c r="T209" i="10"/>
  <c r="E209" i="10"/>
  <c r="V207" i="10"/>
  <c r="T207" i="10"/>
  <c r="V205" i="10"/>
  <c r="T205" i="10"/>
  <c r="E204" i="10"/>
  <c r="E207" i="10" s="1"/>
  <c r="E215" i="10" s="1"/>
  <c r="V203" i="10"/>
  <c r="V215" i="10" s="1"/>
  <c r="T203" i="10"/>
  <c r="T215" i="10" s="1"/>
  <c r="E203" i="10"/>
  <c r="V201" i="10"/>
  <c r="V213" i="10" s="1"/>
  <c r="T201" i="10"/>
  <c r="T213" i="10" s="1"/>
  <c r="E201" i="10"/>
  <c r="U199" i="10"/>
  <c r="V196" i="10"/>
  <c r="U196" i="10"/>
  <c r="T196" i="10"/>
  <c r="E196" i="10"/>
  <c r="V195" i="10"/>
  <c r="T195" i="10"/>
  <c r="E195" i="10"/>
  <c r="V193" i="10"/>
  <c r="T193" i="10"/>
  <c r="E193" i="10"/>
  <c r="V191" i="10"/>
  <c r="T191" i="10"/>
  <c r="T199" i="10" s="1"/>
  <c r="E191" i="10"/>
  <c r="V189" i="10"/>
  <c r="T189" i="10"/>
  <c r="E189" i="10"/>
  <c r="V187" i="10"/>
  <c r="V199" i="10" s="1"/>
  <c r="T187" i="10"/>
  <c r="E187" i="10"/>
  <c r="E199" i="10" s="1"/>
  <c r="V185" i="10"/>
  <c r="V197" i="10" s="1"/>
  <c r="T185" i="10"/>
  <c r="T197" i="10" s="1"/>
  <c r="E185" i="10"/>
  <c r="E197" i="10" s="1"/>
  <c r="U175" i="10"/>
  <c r="U173" i="10"/>
  <c r="E173" i="10"/>
  <c r="V172" i="10"/>
  <c r="U172" i="10"/>
  <c r="T172" i="10"/>
  <c r="S172" i="10"/>
  <c r="R172" i="10"/>
  <c r="Q172" i="10"/>
  <c r="P172" i="10"/>
  <c r="O172" i="10"/>
  <c r="N172" i="10"/>
  <c r="M172" i="10"/>
  <c r="L172" i="10"/>
  <c r="K172" i="10"/>
  <c r="I172" i="10"/>
  <c r="H172" i="10"/>
  <c r="G172" i="10"/>
  <c r="F172" i="10"/>
  <c r="E172" i="10"/>
  <c r="V170" i="10"/>
  <c r="V175" i="10" s="1"/>
  <c r="T170" i="10"/>
  <c r="T175" i="10" s="1"/>
  <c r="I170" i="10"/>
  <c r="I175" i="10" s="1"/>
  <c r="H170" i="10"/>
  <c r="H175" i="10" s="1"/>
  <c r="G170" i="10"/>
  <c r="G175" i="10" s="1"/>
  <c r="F170" i="10"/>
  <c r="F175" i="10" s="1"/>
  <c r="E170" i="10"/>
  <c r="E175" i="10" s="1"/>
  <c r="V168" i="10"/>
  <c r="T168" i="10"/>
  <c r="I168" i="10"/>
  <c r="H168" i="10"/>
  <c r="G168" i="10"/>
  <c r="F168" i="10"/>
  <c r="E168" i="10"/>
  <c r="AG167" i="10"/>
  <c r="AG166" i="10"/>
  <c r="V165" i="10"/>
  <c r="T165" i="10"/>
  <c r="I165" i="10"/>
  <c r="H165" i="10"/>
  <c r="G165" i="10"/>
  <c r="F165" i="10"/>
  <c r="E165" i="10"/>
  <c r="V163" i="10"/>
  <c r="V173" i="10" s="1"/>
  <c r="T163" i="10"/>
  <c r="T173" i="10" s="1"/>
  <c r="I163" i="10"/>
  <c r="I173" i="10" s="1"/>
  <c r="H163" i="10"/>
  <c r="H173" i="10" s="1"/>
  <c r="G163" i="10"/>
  <c r="G173" i="10" s="1"/>
  <c r="F163" i="10"/>
  <c r="F173" i="10" s="1"/>
  <c r="E163" i="10"/>
  <c r="AG159" i="10"/>
  <c r="U158" i="10"/>
  <c r="G158" i="10"/>
  <c r="E158" i="10"/>
  <c r="V156" i="10"/>
  <c r="F156" i="10"/>
  <c r="V155" i="10"/>
  <c r="T155" i="10"/>
  <c r="I155" i="10"/>
  <c r="H155" i="10"/>
  <c r="G155" i="10"/>
  <c r="F155" i="10"/>
  <c r="E155" i="10"/>
  <c r="I154" i="10"/>
  <c r="I158" i="10" s="1"/>
  <c r="H154" i="10"/>
  <c r="H158" i="10" s="1"/>
  <c r="G154" i="10"/>
  <c r="F154" i="10"/>
  <c r="F158" i="10" s="1"/>
  <c r="E154" i="10"/>
  <c r="V152" i="10"/>
  <c r="T152" i="10"/>
  <c r="I152" i="10"/>
  <c r="H152" i="10"/>
  <c r="G152" i="10"/>
  <c r="F152" i="10"/>
  <c r="E152" i="10"/>
  <c r="V150" i="10"/>
  <c r="V158" i="10" s="1"/>
  <c r="T150" i="10"/>
  <c r="T158" i="10" s="1"/>
  <c r="I150" i="10"/>
  <c r="H150" i="10"/>
  <c r="G150" i="10"/>
  <c r="F150" i="10"/>
  <c r="E150" i="10"/>
  <c r="V148" i="10"/>
  <c r="T148" i="10"/>
  <c r="T156" i="10" s="1"/>
  <c r="I148" i="10"/>
  <c r="I156" i="10" s="1"/>
  <c r="H148" i="10"/>
  <c r="H156" i="10" s="1"/>
  <c r="G148" i="10"/>
  <c r="G156" i="10" s="1"/>
  <c r="F148" i="10"/>
  <c r="E148" i="10"/>
  <c r="E156" i="10" s="1"/>
  <c r="U146" i="10"/>
  <c r="U144" i="10"/>
  <c r="U143" i="10"/>
  <c r="T143" i="10"/>
  <c r="I143" i="10"/>
  <c r="H143" i="10"/>
  <c r="G143" i="10"/>
  <c r="F143" i="10"/>
  <c r="E143" i="10"/>
  <c r="T142" i="10"/>
  <c r="I142" i="10"/>
  <c r="H142" i="10"/>
  <c r="G142" i="10"/>
  <c r="F142" i="10"/>
  <c r="E142" i="10"/>
  <c r="V140" i="10"/>
  <c r="T140" i="10"/>
  <c r="I140" i="10"/>
  <c r="H140" i="10"/>
  <c r="G140" i="10"/>
  <c r="F140" i="10"/>
  <c r="E140" i="10"/>
  <c r="V139" i="10"/>
  <c r="V138" i="10"/>
  <c r="T138" i="10"/>
  <c r="I138" i="10"/>
  <c r="H138" i="10"/>
  <c r="G138" i="10"/>
  <c r="F138" i="10"/>
  <c r="E138" i="10"/>
  <c r="V136" i="10"/>
  <c r="T136" i="10"/>
  <c r="E136" i="10"/>
  <c r="V135" i="10"/>
  <c r="V134" i="10"/>
  <c r="T134" i="10"/>
  <c r="I134" i="10"/>
  <c r="H134" i="10"/>
  <c r="G134" i="10"/>
  <c r="F134" i="10"/>
  <c r="E134" i="10"/>
  <c r="V132" i="10"/>
  <c r="T132" i="10"/>
  <c r="I132" i="10"/>
  <c r="H132" i="10"/>
  <c r="G132" i="10"/>
  <c r="F132" i="10"/>
  <c r="E132" i="10"/>
  <c r="V131" i="10"/>
  <c r="V130" i="10"/>
  <c r="T130" i="10"/>
  <c r="I130" i="10"/>
  <c r="H130" i="10"/>
  <c r="G130" i="10"/>
  <c r="F130" i="10"/>
  <c r="E130" i="10"/>
  <c r="V128" i="10"/>
  <c r="T128" i="10"/>
  <c r="I128" i="10"/>
  <c r="H128" i="10"/>
  <c r="G128" i="10"/>
  <c r="F128" i="10"/>
  <c r="E128" i="10"/>
  <c r="V127" i="10"/>
  <c r="V126" i="10"/>
  <c r="V146" i="10" s="1"/>
  <c r="T126" i="10"/>
  <c r="T146" i="10" s="1"/>
  <c r="I126" i="10"/>
  <c r="I146" i="10" s="1"/>
  <c r="H126" i="10"/>
  <c r="H146" i="10" s="1"/>
  <c r="G126" i="10"/>
  <c r="G146" i="10" s="1"/>
  <c r="F126" i="10"/>
  <c r="F146" i="10" s="1"/>
  <c r="E126" i="10"/>
  <c r="E146" i="10" s="1"/>
  <c r="V124" i="10"/>
  <c r="V144" i="10" s="1"/>
  <c r="T124" i="10"/>
  <c r="T144" i="10" s="1"/>
  <c r="I124" i="10"/>
  <c r="I144" i="10" s="1"/>
  <c r="H124" i="10"/>
  <c r="H144" i="10" s="1"/>
  <c r="G124" i="10"/>
  <c r="G144" i="10" s="1"/>
  <c r="F124" i="10"/>
  <c r="F144" i="10" s="1"/>
  <c r="E124" i="10"/>
  <c r="E144" i="10" s="1"/>
  <c r="V123" i="10"/>
  <c r="V143" i="10" s="1"/>
  <c r="U122" i="10"/>
  <c r="U120" i="10"/>
  <c r="H120" i="10"/>
  <c r="U119" i="10"/>
  <c r="V118" i="10"/>
  <c r="T118" i="10"/>
  <c r="I118" i="10"/>
  <c r="H118" i="10"/>
  <c r="G118" i="10"/>
  <c r="F118" i="10"/>
  <c r="E118" i="10"/>
  <c r="V116" i="10"/>
  <c r="T116" i="10"/>
  <c r="I116" i="10"/>
  <c r="I120" i="10" s="1"/>
  <c r="H116" i="10"/>
  <c r="G116" i="10"/>
  <c r="G120" i="10" s="1"/>
  <c r="F116" i="10"/>
  <c r="F120" i="10" s="1"/>
  <c r="E116" i="10"/>
  <c r="E120" i="10" s="1"/>
  <c r="V115" i="10"/>
  <c r="I115" i="10"/>
  <c r="H115" i="10"/>
  <c r="G115" i="10"/>
  <c r="F115" i="10"/>
  <c r="E115" i="10"/>
  <c r="T114" i="10"/>
  <c r="I114" i="10"/>
  <c r="H114" i="10"/>
  <c r="G114" i="10"/>
  <c r="F114" i="10"/>
  <c r="E114" i="10"/>
  <c r="V112" i="10"/>
  <c r="T112" i="10"/>
  <c r="T110" i="10"/>
  <c r="I110" i="10"/>
  <c r="H110" i="10"/>
  <c r="G110" i="10"/>
  <c r="F110" i="10"/>
  <c r="E110" i="10"/>
  <c r="T108" i="10"/>
  <c r="V107" i="10"/>
  <c r="I107" i="10"/>
  <c r="I119" i="10" s="1"/>
  <c r="H107" i="10"/>
  <c r="H119" i="10" s="1"/>
  <c r="G107" i="10"/>
  <c r="G119" i="10" s="1"/>
  <c r="F107" i="10"/>
  <c r="F119" i="10" s="1"/>
  <c r="E107" i="10"/>
  <c r="E119" i="10" s="1"/>
  <c r="V106" i="10"/>
  <c r="V122" i="10" s="1"/>
  <c r="T106" i="10"/>
  <c r="T122" i="10" s="1"/>
  <c r="I106" i="10"/>
  <c r="I122" i="10" s="1"/>
  <c r="H106" i="10"/>
  <c r="H122" i="10" s="1"/>
  <c r="G106" i="10"/>
  <c r="G122" i="10" s="1"/>
  <c r="F106" i="10"/>
  <c r="F122" i="10" s="1"/>
  <c r="E106" i="10"/>
  <c r="E122" i="10" s="1"/>
  <c r="V104" i="10"/>
  <c r="V120" i="10" s="1"/>
  <c r="T104" i="10"/>
  <c r="T120" i="10" s="1"/>
  <c r="V99" i="10"/>
  <c r="V119" i="10" s="1"/>
  <c r="T99" i="10"/>
  <c r="T119" i="10" s="1"/>
  <c r="U94" i="10"/>
  <c r="U92" i="10"/>
  <c r="I92" i="10"/>
  <c r="H92" i="10"/>
  <c r="G92" i="10"/>
  <c r="F92" i="10"/>
  <c r="E92" i="10"/>
  <c r="V91" i="10"/>
  <c r="U91" i="10"/>
  <c r="T91" i="10"/>
  <c r="I91" i="10"/>
  <c r="H91" i="10"/>
  <c r="G91" i="10"/>
  <c r="F91" i="10"/>
  <c r="E91" i="10"/>
  <c r="T90" i="10"/>
  <c r="I90" i="10"/>
  <c r="I94" i="10" s="1"/>
  <c r="H90" i="10"/>
  <c r="H94" i="10" s="1"/>
  <c r="G90" i="10"/>
  <c r="F90" i="10"/>
  <c r="F94" i="10" s="1"/>
  <c r="E90" i="10"/>
  <c r="E94" i="10" s="1"/>
  <c r="T86" i="10"/>
  <c r="I86" i="10"/>
  <c r="H86" i="10"/>
  <c r="G86" i="10"/>
  <c r="G94" i="10" s="1"/>
  <c r="F86" i="10"/>
  <c r="E86" i="10"/>
  <c r="T82" i="10"/>
  <c r="I82" i="10"/>
  <c r="H82" i="10"/>
  <c r="G82" i="10"/>
  <c r="F82" i="10"/>
  <c r="E82" i="10"/>
  <c r="V78" i="10"/>
  <c r="V94" i="10" s="1"/>
  <c r="T78" i="10"/>
  <c r="T94" i="10" s="1"/>
  <c r="I78" i="10"/>
  <c r="H78" i="10"/>
  <c r="G78" i="10"/>
  <c r="F78" i="10"/>
  <c r="E78" i="10"/>
  <c r="V76" i="10"/>
  <c r="V92" i="10" s="1"/>
  <c r="T76" i="10"/>
  <c r="T92" i="10" s="1"/>
  <c r="U70" i="10"/>
  <c r="U68" i="10"/>
  <c r="V67" i="10"/>
  <c r="U67" i="10"/>
  <c r="T67" i="10"/>
  <c r="I67" i="10"/>
  <c r="H67" i="10"/>
  <c r="G67" i="10"/>
  <c r="F67" i="10"/>
  <c r="E67" i="10"/>
  <c r="V66" i="10"/>
  <c r="T66" i="10"/>
  <c r="I66" i="10"/>
  <c r="I70" i="10" s="1"/>
  <c r="H66" i="10"/>
  <c r="H70" i="10" s="1"/>
  <c r="G66" i="10"/>
  <c r="G70" i="10" s="1"/>
  <c r="F66" i="10"/>
  <c r="F70" i="10" s="1"/>
  <c r="E66" i="10"/>
  <c r="E70" i="10" s="1"/>
  <c r="V64" i="10"/>
  <c r="V68" i="10" s="1"/>
  <c r="T64" i="10"/>
  <c r="T68" i="10" s="1"/>
  <c r="I64" i="10"/>
  <c r="H64" i="10"/>
  <c r="G64" i="10"/>
  <c r="F64" i="10"/>
  <c r="E64" i="10"/>
  <c r="V62" i="10"/>
  <c r="T62" i="10"/>
  <c r="I62" i="10"/>
  <c r="H62" i="10"/>
  <c r="G62" i="10"/>
  <c r="F62" i="10"/>
  <c r="E62" i="10"/>
  <c r="V60" i="10"/>
  <c r="T60" i="10"/>
  <c r="I60" i="10"/>
  <c r="H60" i="10"/>
  <c r="G60" i="10"/>
  <c r="F60" i="10"/>
  <c r="E60" i="10"/>
  <c r="V58" i="10"/>
  <c r="T58" i="10"/>
  <c r="I58" i="10"/>
  <c r="H58" i="10"/>
  <c r="G58" i="10"/>
  <c r="F58" i="10"/>
  <c r="E58" i="10"/>
  <c r="V56" i="10"/>
  <c r="T56" i="10"/>
  <c r="I56" i="10"/>
  <c r="H56" i="10"/>
  <c r="G56" i="10"/>
  <c r="F56" i="10"/>
  <c r="E56" i="10"/>
  <c r="V54" i="10"/>
  <c r="T54" i="10"/>
  <c r="I54" i="10"/>
  <c r="H54" i="10"/>
  <c r="G54" i="10"/>
  <c r="F54" i="10"/>
  <c r="E54" i="10"/>
  <c r="V52" i="10"/>
  <c r="T52" i="10"/>
  <c r="I52" i="10"/>
  <c r="I68" i="10" s="1"/>
  <c r="H52" i="10"/>
  <c r="H68" i="10" s="1"/>
  <c r="G52" i="10"/>
  <c r="G68" i="10" s="1"/>
  <c r="F52" i="10"/>
  <c r="F68" i="10" s="1"/>
  <c r="E52" i="10"/>
  <c r="V50" i="10"/>
  <c r="T50" i="10"/>
  <c r="I50" i="10"/>
  <c r="H50" i="10"/>
  <c r="G50" i="10"/>
  <c r="F50" i="10"/>
  <c r="E50" i="10"/>
  <c r="V48" i="10"/>
  <c r="T48" i="10"/>
  <c r="E48" i="10"/>
  <c r="V46" i="10"/>
  <c r="T46" i="10"/>
  <c r="I46" i="10"/>
  <c r="H46" i="10"/>
  <c r="G46" i="10"/>
  <c r="F46" i="10"/>
  <c r="E46" i="10"/>
  <c r="V44" i="10"/>
  <c r="T44" i="10"/>
  <c r="E44" i="10"/>
  <c r="V42" i="10"/>
  <c r="T42" i="10"/>
  <c r="I42" i="10"/>
  <c r="H42" i="10"/>
  <c r="G42" i="10"/>
  <c r="F42" i="10"/>
  <c r="E42" i="10"/>
  <c r="V40" i="10"/>
  <c r="T40" i="10"/>
  <c r="E40" i="10"/>
  <c r="V38" i="10"/>
  <c r="V70" i="10" s="1"/>
  <c r="T38" i="10"/>
  <c r="T70" i="10" s="1"/>
  <c r="I38" i="10"/>
  <c r="H38" i="10"/>
  <c r="G38" i="10"/>
  <c r="F38" i="10"/>
  <c r="E38" i="10"/>
  <c r="V36" i="10"/>
  <c r="T36" i="10"/>
  <c r="E36" i="10"/>
  <c r="E68" i="10" s="1"/>
  <c r="V31" i="10"/>
  <c r="U30" i="10"/>
  <c r="I29" i="10"/>
  <c r="H29" i="10"/>
  <c r="G29" i="10"/>
  <c r="F29" i="10"/>
  <c r="E29" i="10"/>
  <c r="T27" i="10"/>
  <c r="V26" i="10"/>
  <c r="T26" i="10"/>
  <c r="I26" i="10"/>
  <c r="H26" i="10"/>
  <c r="G26" i="10"/>
  <c r="F26" i="10"/>
  <c r="E26" i="10"/>
  <c r="T24" i="10"/>
  <c r="T28" i="10" s="1"/>
  <c r="I24" i="10"/>
  <c r="H24" i="10"/>
  <c r="G24" i="10"/>
  <c r="F24" i="10"/>
  <c r="E24" i="10"/>
  <c r="AC23" i="10"/>
  <c r="AB23" i="10"/>
  <c r="AG23" i="10" s="1"/>
  <c r="V22" i="10"/>
  <c r="T22" i="10"/>
  <c r="I22" i="10"/>
  <c r="H22" i="10"/>
  <c r="G22" i="10"/>
  <c r="F22" i="10"/>
  <c r="E22" i="10"/>
  <c r="T20" i="10"/>
  <c r="I20" i="10"/>
  <c r="H20" i="10"/>
  <c r="G20" i="10"/>
  <c r="F20" i="10"/>
  <c r="E20" i="10"/>
  <c r="AC19" i="10"/>
  <c r="AB19" i="10"/>
  <c r="AG19" i="10" s="1"/>
  <c r="V18" i="10"/>
  <c r="T18" i="10"/>
  <c r="I18" i="10"/>
  <c r="H18" i="10"/>
  <c r="G18" i="10"/>
  <c r="F18" i="10"/>
  <c r="E18" i="10"/>
  <c r="T16" i="10"/>
  <c r="I16" i="10"/>
  <c r="H16" i="10"/>
  <c r="G16" i="10"/>
  <c r="F16" i="10"/>
  <c r="E16" i="10"/>
  <c r="AC15" i="10"/>
  <c r="AB15" i="10"/>
  <c r="AG15" i="10" s="1"/>
  <c r="V14" i="10"/>
  <c r="V245" i="10" s="1"/>
  <c r="T14" i="10"/>
  <c r="T245" i="10" s="1"/>
  <c r="I14" i="10"/>
  <c r="I245" i="10" s="1"/>
  <c r="H14" i="10"/>
  <c r="H245" i="10" s="1"/>
  <c r="G14" i="10"/>
  <c r="G245" i="10" s="1"/>
  <c r="F14" i="10"/>
  <c r="F30" i="10" s="1"/>
  <c r="E14" i="10"/>
  <c r="E30" i="10" s="1"/>
  <c r="V12" i="10"/>
  <c r="V244" i="10" s="1"/>
  <c r="T12" i="10"/>
  <c r="T244" i="10" s="1"/>
  <c r="T246" i="10" s="1"/>
  <c r="I12" i="10"/>
  <c r="I28" i="10" s="1"/>
  <c r="H12" i="10"/>
  <c r="H28" i="10" s="1"/>
  <c r="G12" i="10"/>
  <c r="G28" i="10" s="1"/>
  <c r="F12" i="10"/>
  <c r="F28" i="10" s="1"/>
  <c r="E12" i="10"/>
  <c r="AC11" i="10"/>
  <c r="AB11" i="10"/>
  <c r="AG11" i="10" s="1"/>
  <c r="V11" i="10"/>
  <c r="V27" i="10" s="1"/>
  <c r="I11" i="10"/>
  <c r="I27" i="10" s="1"/>
  <c r="H11" i="10"/>
  <c r="H27" i="10" s="1"/>
  <c r="G11" i="10"/>
  <c r="G27" i="10" s="1"/>
  <c r="F11" i="10"/>
  <c r="F27" i="10" s="1"/>
  <c r="E11" i="10"/>
  <c r="E27" i="10" s="1"/>
  <c r="AG7" i="10"/>
  <c r="V246" i="10" l="1"/>
  <c r="V28" i="10"/>
  <c r="G30" i="10"/>
  <c r="E205" i="10"/>
  <c r="E213" i="10" s="1"/>
  <c r="F244" i="10"/>
  <c r="F245" i="10"/>
  <c r="H30" i="10"/>
  <c r="G244" i="10"/>
  <c r="E28" i="10"/>
  <c r="I30" i="10"/>
  <c r="H244" i="10"/>
  <c r="T30" i="10"/>
  <c r="I244" i="10"/>
  <c r="V30" i="10"/>
  <c r="E245" i="10"/>
  <c r="E244" i="10" l="1"/>
  <c r="E246" i="10" s="1"/>
  <c r="U56" i="9"/>
  <c r="T56" i="9"/>
  <c r="S51" i="9"/>
  <c r="S49" i="9"/>
  <c r="S47" i="9"/>
  <c r="S46" i="9"/>
  <c r="S45" i="9"/>
  <c r="S44"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AB142" i="6"/>
  <c r="AB141" i="6"/>
  <c r="AB143" i="6" s="1"/>
  <c r="AG20" i="6"/>
  <c r="AG19" i="6"/>
  <c r="AE20" i="6"/>
  <c r="AC20" i="6"/>
  <c r="AE19" i="6"/>
  <c r="AC19" i="6"/>
  <c r="AL16" i="5" l="1"/>
  <c r="AL15" i="5"/>
  <c r="AL14" i="5"/>
  <c r="AK25" i="5"/>
  <c r="AK24" i="5"/>
  <c r="AK23" i="5"/>
  <c r="AK21" i="5"/>
  <c r="AK20" i="5"/>
  <c r="AK19" i="5"/>
  <c r="AK18" i="5"/>
  <c r="AK17" i="5"/>
  <c r="AK14" i="5"/>
  <c r="Z141" i="6" l="1"/>
  <c r="Z143" i="6" s="1"/>
  <c r="Z142" i="6"/>
  <c r="AI141" i="6"/>
  <c r="AI143" i="6" s="1"/>
  <c r="AI142" i="6"/>
  <c r="AK27" i="5"/>
  <c r="AL27" i="5"/>
  <c r="Y141" i="6"/>
  <c r="Y143" i="6" s="1"/>
  <c r="Y142" i="6"/>
  <c r="AH142" i="6"/>
  <c r="AH141" i="6"/>
  <c r="AH143" i="6" s="1"/>
  <c r="AA142" i="6"/>
  <c r="AA143" i="6" s="1"/>
  <c r="AA141" i="6"/>
  <c r="X142" i="6"/>
  <c r="X141" i="6"/>
  <c r="X143" i="6" s="1"/>
  <c r="H106" i="6"/>
  <c r="H110" i="6" s="1"/>
  <c r="AG142" i="6"/>
  <c r="AG141" i="6"/>
  <c r="W142" i="6"/>
  <c r="AF141" i="6"/>
  <c r="AF142" i="6"/>
  <c r="V142" i="6"/>
  <c r="V143" i="6" s="1"/>
  <c r="V44" i="6"/>
  <c r="V140" i="6"/>
  <c r="V139" i="6"/>
  <c r="V134" i="6"/>
  <c r="V133" i="6"/>
  <c r="V128" i="6"/>
  <c r="V127" i="6"/>
  <c r="V126" i="6"/>
  <c r="V122" i="6"/>
  <c r="V121" i="6"/>
  <c r="V116" i="6"/>
  <c r="V115" i="6"/>
  <c r="V110" i="6"/>
  <c r="V109" i="6"/>
  <c r="V104" i="6"/>
  <c r="V103" i="6"/>
  <c r="V98" i="6"/>
  <c r="V97" i="6"/>
  <c r="V92" i="6"/>
  <c r="V91" i="6"/>
  <c r="V86" i="6"/>
  <c r="V85" i="6"/>
  <c r="V80" i="6"/>
  <c r="V79" i="6"/>
  <c r="V74" i="6"/>
  <c r="V73" i="6"/>
  <c r="V68" i="6"/>
  <c r="V67" i="6"/>
  <c r="V62" i="6"/>
  <c r="V61" i="6"/>
  <c r="V56" i="6"/>
  <c r="V55" i="6"/>
  <c r="V41" i="6"/>
  <c r="V43" i="6" s="1"/>
  <c r="V38" i="6"/>
  <c r="V37" i="6"/>
  <c r="V32" i="6"/>
  <c r="V31" i="6"/>
  <c r="V26" i="6"/>
  <c r="V25" i="6"/>
  <c r="V20" i="6"/>
  <c r="V19" i="6"/>
  <c r="V14" i="6"/>
  <c r="V13" i="6"/>
  <c r="H136" i="6"/>
  <c r="H130" i="6"/>
  <c r="H124" i="6"/>
  <c r="H128" i="6" s="1"/>
  <c r="H118" i="6"/>
  <c r="H112" i="6"/>
  <c r="H100" i="6"/>
  <c r="H94" i="6"/>
  <c r="H98" i="6" s="1"/>
  <c r="H88" i="6"/>
  <c r="H82" i="6"/>
  <c r="H76" i="6"/>
  <c r="H70" i="6"/>
  <c r="H74" i="6" s="1"/>
  <c r="H64" i="6"/>
  <c r="H58" i="6"/>
  <c r="H46" i="6"/>
  <c r="H40" i="6"/>
  <c r="H44" i="6" s="1"/>
  <c r="H34" i="6"/>
  <c r="H16" i="6"/>
  <c r="H10" i="6"/>
  <c r="T142" i="6"/>
  <c r="T141" i="6"/>
  <c r="T143" i="6" s="1"/>
  <c r="U22" i="5"/>
  <c r="U19" i="5"/>
  <c r="J140" i="6"/>
  <c r="J139" i="6"/>
  <c r="J86" i="6"/>
  <c r="J85" i="6"/>
  <c r="J50" i="6"/>
  <c r="J49" i="6"/>
  <c r="AE142" i="6"/>
  <c r="AD142" i="6"/>
  <c r="AC142" i="6"/>
  <c r="U142" i="6"/>
  <c r="R142" i="6"/>
  <c r="Q142" i="6"/>
  <c r="O142" i="6"/>
  <c r="N142" i="6"/>
  <c r="M142" i="6"/>
  <c r="L142" i="6"/>
  <c r="K142" i="6"/>
  <c r="J142" i="6"/>
  <c r="H142" i="6"/>
  <c r="AD141" i="6"/>
  <c r="AC141" i="6"/>
  <c r="AC143" i="6" s="1"/>
  <c r="R141" i="6"/>
  <c r="Q141" i="6"/>
  <c r="O141" i="6"/>
  <c r="O143" i="6" s="1"/>
  <c r="N141" i="6"/>
  <c r="N143" i="6"/>
  <c r="M141" i="6"/>
  <c r="M143" i="6"/>
  <c r="L141" i="6"/>
  <c r="K141" i="6"/>
  <c r="K143" i="6" s="1"/>
  <c r="J141" i="6"/>
  <c r="R140" i="6"/>
  <c r="Q140" i="6"/>
  <c r="O140" i="6"/>
  <c r="N140" i="6"/>
  <c r="M140" i="6"/>
  <c r="L140" i="6"/>
  <c r="K140" i="6"/>
  <c r="H140" i="6"/>
  <c r="R139" i="6"/>
  <c r="Q139" i="6"/>
  <c r="O139" i="6"/>
  <c r="N139" i="6"/>
  <c r="M139" i="6"/>
  <c r="L139" i="6"/>
  <c r="K139" i="6"/>
  <c r="H139" i="6"/>
  <c r="R134" i="6"/>
  <c r="Q134" i="6"/>
  <c r="P134" i="6"/>
  <c r="O134" i="6"/>
  <c r="N134" i="6"/>
  <c r="M134" i="6"/>
  <c r="L134" i="6"/>
  <c r="K134" i="6"/>
  <c r="J134" i="6"/>
  <c r="H134" i="6"/>
  <c r="R133" i="6"/>
  <c r="Q133" i="6"/>
  <c r="P133" i="6"/>
  <c r="O133" i="6"/>
  <c r="N133" i="6"/>
  <c r="M133" i="6"/>
  <c r="L133" i="6"/>
  <c r="K133" i="6"/>
  <c r="J133" i="6"/>
  <c r="H133" i="6"/>
  <c r="R128" i="6"/>
  <c r="Q128" i="6"/>
  <c r="P128" i="6"/>
  <c r="O128" i="6"/>
  <c r="N128" i="6"/>
  <c r="M128" i="6"/>
  <c r="L128" i="6"/>
  <c r="K128" i="6"/>
  <c r="J128" i="6"/>
  <c r="R127" i="6"/>
  <c r="Q127" i="6"/>
  <c r="O127" i="6"/>
  <c r="N127" i="6"/>
  <c r="M127" i="6"/>
  <c r="L127" i="6"/>
  <c r="K127" i="6"/>
  <c r="J127" i="6"/>
  <c r="H127" i="6"/>
  <c r="R122" i="6"/>
  <c r="Q122" i="6"/>
  <c r="O122" i="6"/>
  <c r="N122" i="6"/>
  <c r="M122" i="6"/>
  <c r="L122" i="6"/>
  <c r="K122" i="6"/>
  <c r="J122" i="6"/>
  <c r="H122" i="6"/>
  <c r="R121" i="6"/>
  <c r="Q121" i="6"/>
  <c r="P121" i="6"/>
  <c r="O121" i="6"/>
  <c r="N121" i="6"/>
  <c r="M121" i="6"/>
  <c r="L121" i="6"/>
  <c r="K121" i="6"/>
  <c r="J121" i="6"/>
  <c r="H121" i="6"/>
  <c r="P120" i="6"/>
  <c r="P122" i="6" s="1"/>
  <c r="R116" i="6"/>
  <c r="Q116" i="6"/>
  <c r="P116" i="6"/>
  <c r="O116" i="6"/>
  <c r="N116" i="6"/>
  <c r="M116" i="6"/>
  <c r="L116" i="6"/>
  <c r="K116" i="6"/>
  <c r="H116" i="6"/>
  <c r="R115" i="6"/>
  <c r="Q115" i="6"/>
  <c r="P115" i="6"/>
  <c r="O115" i="6"/>
  <c r="N115" i="6"/>
  <c r="M115" i="6"/>
  <c r="L115" i="6"/>
  <c r="K115" i="6"/>
  <c r="J115" i="6"/>
  <c r="H115" i="6"/>
  <c r="K113" i="6"/>
  <c r="R110" i="6"/>
  <c r="Q110" i="6"/>
  <c r="P110" i="6"/>
  <c r="O110" i="6"/>
  <c r="N110" i="6"/>
  <c r="M110" i="6"/>
  <c r="L110" i="6"/>
  <c r="K110" i="6"/>
  <c r="R109" i="6"/>
  <c r="Q109" i="6"/>
  <c r="P109" i="6"/>
  <c r="O109" i="6"/>
  <c r="N109" i="6"/>
  <c r="M109" i="6"/>
  <c r="L109" i="6"/>
  <c r="K109" i="6"/>
  <c r="H109" i="6"/>
  <c r="R104" i="6"/>
  <c r="Q104" i="6"/>
  <c r="P104" i="6"/>
  <c r="O104" i="6"/>
  <c r="N104" i="6"/>
  <c r="M104" i="6"/>
  <c r="L104" i="6"/>
  <c r="K104" i="6"/>
  <c r="J104" i="6"/>
  <c r="R103" i="6"/>
  <c r="Q103" i="6"/>
  <c r="P103" i="6"/>
  <c r="O103" i="6"/>
  <c r="N103" i="6"/>
  <c r="M103" i="6"/>
  <c r="L103" i="6"/>
  <c r="K103" i="6"/>
  <c r="J103" i="6"/>
  <c r="H103" i="6"/>
  <c r="H104" i="6"/>
  <c r="R98" i="6"/>
  <c r="Q98" i="6"/>
  <c r="P98" i="6"/>
  <c r="O98" i="6"/>
  <c r="N98" i="6"/>
  <c r="M98" i="6"/>
  <c r="L98" i="6"/>
  <c r="K98" i="6"/>
  <c r="R97" i="6"/>
  <c r="Q97" i="6"/>
  <c r="P97" i="6"/>
  <c r="O97" i="6"/>
  <c r="N97" i="6"/>
  <c r="M97" i="6"/>
  <c r="L97" i="6"/>
  <c r="K97" i="6"/>
  <c r="H97" i="6"/>
  <c r="R92" i="6"/>
  <c r="Q92" i="6"/>
  <c r="P92" i="6"/>
  <c r="O92" i="6"/>
  <c r="N92" i="6"/>
  <c r="M92" i="6"/>
  <c r="L92" i="6"/>
  <c r="K92" i="6"/>
  <c r="H92" i="6"/>
  <c r="R91" i="6"/>
  <c r="Q91" i="6"/>
  <c r="O91" i="6"/>
  <c r="N91" i="6"/>
  <c r="M91" i="6"/>
  <c r="L91" i="6"/>
  <c r="K91" i="6"/>
  <c r="H91" i="6"/>
  <c r="R86" i="6"/>
  <c r="Q86" i="6"/>
  <c r="P86" i="6"/>
  <c r="O86" i="6"/>
  <c r="N86" i="6"/>
  <c r="M86" i="6"/>
  <c r="L86" i="6"/>
  <c r="K86" i="6"/>
  <c r="H86" i="6"/>
  <c r="R85" i="6"/>
  <c r="Q85" i="6"/>
  <c r="O85" i="6"/>
  <c r="N85" i="6"/>
  <c r="M85" i="6"/>
  <c r="L85" i="6"/>
  <c r="K85" i="6"/>
  <c r="H85" i="6"/>
  <c r="R80" i="6"/>
  <c r="Q80" i="6"/>
  <c r="P80" i="6"/>
  <c r="O80" i="6"/>
  <c r="N80" i="6"/>
  <c r="M80" i="6"/>
  <c r="L80" i="6"/>
  <c r="K80" i="6"/>
  <c r="H80" i="6"/>
  <c r="R79" i="6"/>
  <c r="Q79" i="6"/>
  <c r="P79" i="6"/>
  <c r="O79" i="6"/>
  <c r="N79" i="6"/>
  <c r="M79" i="6"/>
  <c r="L79" i="6"/>
  <c r="K79" i="6"/>
  <c r="H79" i="6"/>
  <c r="R74" i="6"/>
  <c r="Q74" i="6"/>
  <c r="O74" i="6"/>
  <c r="N74" i="6"/>
  <c r="M74" i="6"/>
  <c r="L74" i="6"/>
  <c r="K74" i="6"/>
  <c r="R73" i="6"/>
  <c r="Q73" i="6"/>
  <c r="P73" i="6"/>
  <c r="O73" i="6"/>
  <c r="N73" i="6"/>
  <c r="M73" i="6"/>
  <c r="L73" i="6"/>
  <c r="K73" i="6"/>
  <c r="H73" i="6"/>
  <c r="P72" i="6"/>
  <c r="P74" i="6" s="1"/>
  <c r="R68" i="6"/>
  <c r="Q68" i="6"/>
  <c r="P68" i="6"/>
  <c r="O68" i="6"/>
  <c r="N68" i="6"/>
  <c r="M68" i="6"/>
  <c r="L68" i="6"/>
  <c r="K68" i="6"/>
  <c r="R67" i="6"/>
  <c r="Q67" i="6"/>
  <c r="O67" i="6"/>
  <c r="N67" i="6"/>
  <c r="M67" i="6"/>
  <c r="L67" i="6"/>
  <c r="K67" i="6"/>
  <c r="H67" i="6"/>
  <c r="H68" i="6"/>
  <c r="P63" i="6"/>
  <c r="P67" i="6" s="1"/>
  <c r="R62" i="6"/>
  <c r="Q62" i="6"/>
  <c r="P62" i="6"/>
  <c r="O62" i="6"/>
  <c r="N62" i="6"/>
  <c r="M62" i="6"/>
  <c r="L62" i="6"/>
  <c r="K62" i="6"/>
  <c r="J62" i="6"/>
  <c r="R61" i="6"/>
  <c r="Q61" i="6"/>
  <c r="P61" i="6"/>
  <c r="O61" i="6"/>
  <c r="N61" i="6"/>
  <c r="M61" i="6"/>
  <c r="L61" i="6"/>
  <c r="K61" i="6"/>
  <c r="J61" i="6"/>
  <c r="H61" i="6"/>
  <c r="R56" i="6"/>
  <c r="Q56" i="6"/>
  <c r="O56" i="6"/>
  <c r="N56" i="6"/>
  <c r="M56" i="6"/>
  <c r="L56" i="6"/>
  <c r="R55" i="6"/>
  <c r="Q55" i="6"/>
  <c r="P55" i="6"/>
  <c r="O55" i="6"/>
  <c r="N55" i="6"/>
  <c r="M55" i="6"/>
  <c r="L55" i="6"/>
  <c r="K55" i="6"/>
  <c r="H55" i="6"/>
  <c r="P52" i="6"/>
  <c r="H52" i="6"/>
  <c r="H56" i="6" s="1"/>
  <c r="R50" i="6"/>
  <c r="Q50" i="6"/>
  <c r="O50" i="6"/>
  <c r="N50" i="6"/>
  <c r="M50" i="6"/>
  <c r="L50" i="6"/>
  <c r="K50" i="6"/>
  <c r="H50" i="6"/>
  <c r="R49" i="6"/>
  <c r="Q49" i="6"/>
  <c r="O49" i="6"/>
  <c r="N49" i="6"/>
  <c r="M49" i="6"/>
  <c r="L49" i="6"/>
  <c r="K49" i="6"/>
  <c r="H49" i="6"/>
  <c r="R44" i="6"/>
  <c r="Q44" i="6"/>
  <c r="P44" i="6"/>
  <c r="O44" i="6"/>
  <c r="N44" i="6"/>
  <c r="M44" i="6"/>
  <c r="L44" i="6"/>
  <c r="P43" i="6"/>
  <c r="O43" i="6"/>
  <c r="N43" i="6"/>
  <c r="M43" i="6"/>
  <c r="L43" i="6"/>
  <c r="H43" i="6"/>
  <c r="R38" i="6"/>
  <c r="Q38" i="6"/>
  <c r="P38" i="6"/>
  <c r="O38" i="6"/>
  <c r="N38" i="6"/>
  <c r="M38" i="6"/>
  <c r="L38" i="6"/>
  <c r="K38" i="6"/>
  <c r="J38" i="6"/>
  <c r="R37" i="6"/>
  <c r="Q37" i="6"/>
  <c r="O37" i="6"/>
  <c r="N37" i="6"/>
  <c r="M37" i="6"/>
  <c r="L37" i="6"/>
  <c r="K37" i="6"/>
  <c r="J37" i="6"/>
  <c r="H37" i="6"/>
  <c r="H38" i="6"/>
  <c r="R32" i="6"/>
  <c r="Q32" i="6"/>
  <c r="O32" i="6"/>
  <c r="N32" i="6"/>
  <c r="M32" i="6"/>
  <c r="L32" i="6"/>
  <c r="K32" i="6"/>
  <c r="J32" i="6"/>
  <c r="R31" i="6"/>
  <c r="Q31" i="6"/>
  <c r="O31" i="6"/>
  <c r="N31" i="6"/>
  <c r="M31" i="6"/>
  <c r="L31" i="6"/>
  <c r="K31" i="6"/>
  <c r="J31" i="6"/>
  <c r="H31" i="6"/>
  <c r="P30" i="6"/>
  <c r="P28" i="6"/>
  <c r="H28" i="6"/>
  <c r="H32" i="6"/>
  <c r="P27" i="6"/>
  <c r="P31" i="6" s="1"/>
  <c r="R26" i="6"/>
  <c r="Q26" i="6"/>
  <c r="O26" i="6"/>
  <c r="N26" i="6"/>
  <c r="M26" i="6"/>
  <c r="L26" i="6"/>
  <c r="K26" i="6"/>
  <c r="R25" i="6"/>
  <c r="Q25" i="6"/>
  <c r="P25" i="6"/>
  <c r="O25" i="6"/>
  <c r="N25" i="6"/>
  <c r="M25" i="6"/>
  <c r="L25" i="6"/>
  <c r="H25" i="6"/>
  <c r="P22" i="6"/>
  <c r="R20" i="6"/>
  <c r="Q20" i="6"/>
  <c r="P20" i="6"/>
  <c r="O20" i="6"/>
  <c r="N20" i="6"/>
  <c r="M20" i="6"/>
  <c r="L20" i="6"/>
  <c r="K20" i="6"/>
  <c r="R19" i="6"/>
  <c r="Q19" i="6"/>
  <c r="P19" i="6"/>
  <c r="O19" i="6"/>
  <c r="N19" i="6"/>
  <c r="M19" i="6"/>
  <c r="L19" i="6"/>
  <c r="K19" i="6"/>
  <c r="H19" i="6"/>
  <c r="R14" i="6"/>
  <c r="Q14" i="6"/>
  <c r="O14" i="6"/>
  <c r="N14" i="6"/>
  <c r="M14" i="6"/>
  <c r="L14" i="6"/>
  <c r="K14" i="6"/>
  <c r="J14" i="6"/>
  <c r="H14" i="6"/>
  <c r="R13" i="6"/>
  <c r="Q13" i="6"/>
  <c r="P13" i="6"/>
  <c r="O13" i="6"/>
  <c r="N13" i="6"/>
  <c r="M13" i="6"/>
  <c r="L13" i="6"/>
  <c r="K13" i="6"/>
  <c r="J13" i="6"/>
  <c r="H13" i="6"/>
  <c r="Q14" i="5"/>
  <c r="L143" i="6"/>
  <c r="Q143" i="6"/>
  <c r="P142" i="6"/>
  <c r="P141" i="6"/>
  <c r="P143" i="6" s="1"/>
  <c r="H22" i="6"/>
  <c r="P56" i="6"/>
  <c r="P26" i="6"/>
  <c r="H62" i="6"/>
  <c r="P32" i="6"/>
  <c r="R143" i="6"/>
  <c r="H20" i="6"/>
  <c r="J143" i="6"/>
  <c r="H26" i="6"/>
  <c r="AF143" i="6" l="1"/>
  <c r="AD143" i="6"/>
  <c r="AG143" i="6"/>
  <c r="H141" i="6"/>
  <c r="H14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astrid.romero</author>
  </authors>
  <commentList>
    <comment ref="W17" authorId="0" shapeId="0" xr:uid="{00000000-0006-0000-0000-000001000000}">
      <text>
        <r>
          <rPr>
            <b/>
            <sz val="9"/>
            <color indexed="81"/>
            <rFont val="Tahoma"/>
            <family val="2"/>
          </rPr>
          <t>astrid.romero:</t>
        </r>
        <r>
          <rPr>
            <sz val="9"/>
            <color indexed="81"/>
            <rFont val="Tahoma"/>
            <family val="2"/>
          </rPr>
          <t xml:space="preserve">
Falta que SPCI nos indique la respuesta a la solicitud enviada a la SDP para ajustar la magnitud del indicador a 100 ha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astrid.romero</author>
    <author>sonia.sanabria</author>
  </authors>
  <commentList>
    <comment ref="R22" authorId="0" shapeId="0" xr:uid="{00000000-0006-0000-0100-000001000000}">
      <text>
        <r>
          <rPr>
            <b/>
            <sz val="9"/>
            <color indexed="81"/>
            <rFont val="Tahoma"/>
            <family val="2"/>
          </rPr>
          <t>astrid.romero:</t>
        </r>
        <r>
          <rPr>
            <sz val="9"/>
            <color indexed="81"/>
            <rFont val="Tahoma"/>
            <family val="2"/>
          </rPr>
          <t xml:space="preserve">
Se solicita reprogramación</t>
        </r>
      </text>
    </comment>
    <comment ref="S22" authorId="0" shapeId="0" xr:uid="{00000000-0006-0000-0100-000002000000}">
      <text>
        <r>
          <rPr>
            <b/>
            <sz val="9"/>
            <color indexed="81"/>
            <rFont val="Tahoma"/>
            <family val="2"/>
          </rPr>
          <t>astrid.romero:</t>
        </r>
        <r>
          <rPr>
            <sz val="9"/>
            <color indexed="81"/>
            <rFont val="Tahoma"/>
            <family val="2"/>
          </rPr>
          <t xml:space="preserve">
Se solicita reprogramación</t>
        </r>
      </text>
    </comment>
    <comment ref="T22" authorId="0" shapeId="0" xr:uid="{00000000-0006-0000-0100-000003000000}">
      <text>
        <r>
          <rPr>
            <b/>
            <sz val="9"/>
            <color indexed="81"/>
            <rFont val="Tahoma"/>
            <family val="2"/>
          </rPr>
          <t>astrid.romero:</t>
        </r>
        <r>
          <rPr>
            <sz val="9"/>
            <color indexed="81"/>
            <rFont val="Tahoma"/>
            <family val="2"/>
          </rPr>
          <t xml:space="preserve">
Se solicita reprogramación</t>
        </r>
      </text>
    </comment>
    <comment ref="V27" authorId="1" shapeId="0" xr:uid="{00000000-0006-0000-0100-000004000000}">
      <text>
        <r>
          <rPr>
            <b/>
            <sz val="9"/>
            <color indexed="81"/>
            <rFont val="Tahoma"/>
            <family val="2"/>
          </rPr>
          <t>sonia.sanabria:</t>
        </r>
        <r>
          <rPr>
            <sz val="9"/>
            <color indexed="81"/>
            <rFont val="Tahoma"/>
            <family val="2"/>
          </rPr>
          <t xml:space="preserve">
Pendiente discutir este indicador</t>
        </r>
      </text>
    </comment>
    <comment ref="P72" authorId="0" shapeId="0" xr:uid="{00000000-0006-0000-0100-000005000000}">
      <text>
        <r>
          <rPr>
            <b/>
            <sz val="9"/>
            <color indexed="81"/>
            <rFont val="Tahoma"/>
            <family val="2"/>
          </rPr>
          <t>astrid.romero:</t>
        </r>
        <r>
          <rPr>
            <sz val="9"/>
            <color indexed="81"/>
            <rFont val="Tahoma"/>
            <family val="2"/>
          </rPr>
          <t xml:space="preserve">
Liberación de servicios públicos facturas que pago corporativa, (2324,670) más 22,692 de el contrato de serviconfor No.280 de 2012.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ASTRID.ROMERO</author>
  </authors>
  <commentList>
    <comment ref="V204" authorId="0" shapeId="0" xr:uid="{00000000-0006-0000-0300-000001000000}">
      <text>
        <r>
          <rPr>
            <b/>
            <sz val="9"/>
            <color indexed="81"/>
            <rFont val="Tahoma"/>
            <family val="2"/>
          </rPr>
          <t>ASTRID.ROMERO:</t>
        </r>
        <r>
          <rPr>
            <sz val="9"/>
            <color indexed="81"/>
            <rFont val="Tahoma"/>
            <family val="2"/>
          </rPr>
          <t xml:space="preserve">
Se hizo un verificación de los predios intervenidos y hubo un ajuste de uno de los predios, que se había ubicado en  Usme y corresponde a Ciudad Bolívar</t>
        </r>
      </text>
    </comment>
  </commentList>
</comments>
</file>

<file path=xl/sharedStrings.xml><?xml version="1.0" encoding="utf-8"?>
<sst xmlns="http://schemas.openxmlformats.org/spreadsheetml/2006/main" count="1515" uniqueCount="594">
  <si>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</si>
  <si>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</si>
  <si>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</si>
  <si>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</si>
  <si>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</si>
  <si>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</si>
  <si>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</si>
  <si>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</si>
  <si>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</si>
  <si>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</si>
  <si>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</si>
  <si>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</si>
  <si>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</si>
  <si>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</si>
  <si>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</si>
  <si>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</si>
  <si>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</si>
  <si>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</si>
  <si>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</si>
  <si>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</si>
  <si>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</si>
  <si>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</si>
  <si>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</si>
  <si>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</si>
  <si>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</si>
  <si>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</si>
  <si>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</si>
  <si>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</si>
  <si>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</si>
  <si>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</si>
  <si>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</si>
  <si>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</si>
  <si>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</si>
  <si>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ID Meta</t>
  </si>
  <si>
    <t>Magnitud Vigencia</t>
  </si>
  <si>
    <t>Barrios Unidos</t>
  </si>
  <si>
    <t>Recursos Vigencia</t>
  </si>
  <si>
    <t>Magnitud Reservas</t>
  </si>
  <si>
    <t>Reservas Presupuestales</t>
  </si>
  <si>
    <t>1, COD. META</t>
  </si>
  <si>
    <t>2, Meta Proyecto</t>
  </si>
  <si>
    <t>3, Nombre -Punto de inversión (Localidad, Especial, Distrital)</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</si>
  <si>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</si>
  <si>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</si>
  <si>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</si>
  <si>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</si>
  <si>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</si>
  <si>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</si>
  <si>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</si>
  <si>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</si>
  <si>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</si>
  <si>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</si>
  <si>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</si>
  <si>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</si>
  <si>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</si>
  <si>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</si>
  <si>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</si>
  <si>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</si>
  <si>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</si>
  <si>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</si>
  <si>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</si>
  <si>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</si>
  <si>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</si>
  <si>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</si>
  <si>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</si>
  <si>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</si>
  <si>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</si>
  <si>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</si>
  <si>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</si>
  <si>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</si>
  <si>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</si>
  <si>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</si>
  <si>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</si>
  <si>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</si>
  <si>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</si>
  <si>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</si>
  <si>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</si>
  <si>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</si>
  <si>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</si>
  <si>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</si>
  <si>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</si>
  <si>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</si>
  <si>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</si>
  <si>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</si>
  <si>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</si>
  <si>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</si>
  <si>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</si>
  <si>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</si>
  <si>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</si>
  <si>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</si>
  <si>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</si>
  <si>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</si>
  <si>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</si>
  <si>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</si>
  <si>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</si>
  <si>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</si>
  <si>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</si>
  <si>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</si>
  <si>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</si>
  <si>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</si>
  <si>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</si>
  <si>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</si>
  <si>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</si>
  <si>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DE  ACTUALIZACIÓN Y SEGUIMIENTO A LA TERRITORIALIZACIÓN DE LA INVERSIÓN</t>
  </si>
  <si>
    <t>FORMATO DE ACTUALIZACIÓN Y SEGUIMIENTO AL COMPONENTE DE INVERSIÓN</t>
  </si>
  <si>
    <t xml:space="preserve">FORMATO DE ACTUALIZACIÓN Y SEGUIMIENTO AL COMPONENTE DE GESTIÓN 
</t>
  </si>
  <si>
    <t xml:space="preserve">2. Un territorio que enfrenta el cambio climático y se ordena alrededor del agua. </t>
  </si>
  <si>
    <t>Dirección de Gestión Ambiental - Subdirección de Ecosistemas y Ruralidad</t>
  </si>
  <si>
    <t>821 “Fortalecimiento de la gestión ambiental para la restauración, conservación, manejo y uso sostenible de los ecosistemas urbanos y de las áreas rurales del Distrito Capital.</t>
  </si>
  <si>
    <t>RECUPERACIÓN Y RENATURALIZACIÓN DE LOS ESPACIOS DEL AGUA</t>
  </si>
  <si>
    <t>Recuperación ecológica y paisajística de 57 Km. de rondas y ZMPA de las microcuencas de los ríos Fucha, Salitre, Tunjuelo y Torca</t>
  </si>
  <si>
    <t>Número de Km. intervenidos integralmente</t>
  </si>
  <si>
    <t>Suma</t>
  </si>
  <si>
    <t>Constante</t>
  </si>
  <si>
    <t>Creciente</t>
  </si>
  <si>
    <t>Intervenir mediante procesos de recuperación ambiental y paisajística 8 hectáreas de la ronda del río Tunjuelo en áreas urbanas</t>
  </si>
  <si>
    <t>Número de hectáreas intervenidas</t>
  </si>
  <si>
    <t xml:space="preserve">Km. </t>
  </si>
  <si>
    <t>Recuperar integralmente 40 hectáreas de humedales</t>
  </si>
  <si>
    <t>Número de hectáreas de humedales recuperadas</t>
  </si>
  <si>
    <t>Hectáreas</t>
  </si>
  <si>
    <t>Recuperar ecológicamente áreas estratégicas para el abastecimiento de 12 acueductos veredales con participación comunitaria</t>
  </si>
  <si>
    <t>Número de hectáreas recuperadas por microcuenca abastecedora de acueductos veredales</t>
  </si>
  <si>
    <t>Recuperación ecológica participativa de 520 hectáreas en suelo de protección</t>
  </si>
  <si>
    <t>Número de hectáreas del suelo de protección recuperadas con procesos de restauración, rehabilitación y recuperación participativa</t>
  </si>
  <si>
    <t>Número de organizaciones vinculadas a los procesos de restauración, rehabilitación y recuperación</t>
  </si>
  <si>
    <t>Organizaciones</t>
  </si>
  <si>
    <t>Definición de alternativas para establecer mecanismos de gestión en las zonas identificadas como estratégicas para la conectividad del corredor de borde de la Reserva Forestal Tomas Van der Hammen</t>
  </si>
  <si>
    <t>Alternativas para establecer mecanismos de gestión en las zonas identificadas como estratégicas para la conectividad del corredor de borde de la Reserva Forestal Tomas Van der Hammen definidas</t>
  </si>
  <si>
    <t>Alternativas</t>
  </si>
  <si>
    <t>Adecuar 14 Km. del borde de Cerros Orientales</t>
  </si>
  <si>
    <t>Número de Km. del borde de Cerros Orientales adecuados</t>
  </si>
  <si>
    <t>Formular 4 modelos de ocupación en la franja de transición</t>
  </si>
  <si>
    <t>Modelo de ocupación territorial campesino construido social e interinstitucionalmente en el Borde Sur del Distrito Capital</t>
  </si>
  <si>
    <t>Modelos</t>
  </si>
  <si>
    <t>FRANJAS DE TRANSICIÓN PARA LOS BORDES URBANO-RURALES</t>
  </si>
  <si>
    <t>Administración y manejo institucional de 100 hectáreas de suelo de protección del Distrito</t>
  </si>
  <si>
    <t>Número de hectáreas de suelo de protección administradas</t>
  </si>
  <si>
    <t>APROPIACIÓN AMBIENTAL Y GOBERNANZA DEL AGUA</t>
  </si>
  <si>
    <t>CONOCIMIENTO PARA EL USO SOSTENIBLE DE LA BIODIVERSIDAD</t>
  </si>
  <si>
    <t>500 familias campesinas en proceso de reconversión de sistemas productivos, afines a la conservación de la biodiversidad, los suelos y el agua</t>
  </si>
  <si>
    <t>Número de familias campesinas con sistemas productivos afines a la conservación de la biodiversidad los suelos y el agua</t>
  </si>
  <si>
    <t>Familias</t>
  </si>
  <si>
    <t>Definir lineamientos en la orientación de la reconversión de los sistemas productivos hacia sistemas sostenibles ambientales</t>
  </si>
  <si>
    <t>Lineamientos en la orientación de la reconversión de los sistemas productivos hacia sistemas sostenibles ambientales definidos</t>
  </si>
  <si>
    <t>Lineamientos</t>
  </si>
  <si>
    <t>N.A.</t>
  </si>
  <si>
    <t>Mejoramiento de la calidad ambiental y la sostenibilidad de las acciones implementadas en procesos anteriores, con la recuperación de suelos, conectividad ecológica y conservación de la biodiversidad (recurso flora y fauna).</t>
  </si>
  <si>
    <t>Se está avanzando en la construccion de una visión compartida para las zonas de borde, lo cual brinda insumos para consolidar un modelo en el borde sur, donde se espera consolidar un territorio rural con beneficio a las familias campesinas ubicadas en las localidades de Usme y Ciudad Bolívar</t>
  </si>
  <si>
    <t>Se inició la estructuración de un modelo de intervención de la SDA en la ruralidad, basado en el enfoque de planificación de paisaje rural, lo cual aporta en la consolidación de los lineamientos ambientales para reconversión de sistemas productivos</t>
  </si>
  <si>
    <t>Línea 1: Gestión en el sistema hídrico del Distrito Capital</t>
  </si>
  <si>
    <t>DEFINIR 5.00 SUBUNIDADES DE PLANIFICACIÓN PARTICIPATIVA EN SUBCUENCAS URBANAS PARA SU RECUPERACIÓN, REHABILITACIÓN, RESTAURACIÓN Y/O CONSERVACIÓN.</t>
  </si>
  <si>
    <t>APOYAR LA GESTIÓN EN 28.00 HECTÁREAS PARA LA ADQUISICIÓN Y/O SANEAMIENTO PREDIAL DE LAS RONDAS HIDRÁULICAS Y/O ZMPA DE TRAMOS DE SUBUNIDADES DE SUBCUENCAS URBANAS.</t>
  </si>
  <si>
    <t>GENERAR EN 234.30 HECTÁREAS PROCESOS DE RECUPERACIÓN, REHABILITACIÓN, RESTAURACIÓN Y/O CONSERVACIÓN DE LAS ZONAS DE RONDA HIDRÁULICA Y/O ZMPA DE TRAMOS DE QUEBRADAS</t>
  </si>
  <si>
    <t>RECUPERAR, REHABILITAR Y/O RESTAURAR 8.00 HECTÁREAS DE LA ZONA DE RONDA HIDRÁULICA Y/O ZMPA EN UN TRAMO DE LA CUENCA MEDIA DEL RÍO TUNJUELO</t>
  </si>
  <si>
    <t>CONSERVAR Y MANEJAR SOSTENIBLEMENTE EL 100.00 % DE LAS HECTÁREAS RECUPERADAS, REHABILITADAS Y/O RESTAURADAS DEL RÍO TUNJUELO.</t>
  </si>
  <si>
    <t>FORTALECER Y/O CONSTRUIR 4.00 VIVEROS PARA LA PRODUCCIÓN DE MATERIAL VEGETAL POR TIPO DE ECOSISTEMA REPRESENTATIVO EN EL DISTRITO CAPITAL.</t>
  </si>
  <si>
    <t>AVANZAR LA GESTIÓN EN 260.00 HECTÁREAS PARA LA ADQUISICIÓN PREDIAL EN SUELO DE PROTECCIÓN DEL D.C.</t>
  </si>
  <si>
    <t>GESTIONAR EN 520.00 HECTÁREAS DE SUELO DE PROTECCIÓN, SU RECUPERACIÓN, REHABILITACIÓN Y/O RESTAURACIÓN.</t>
  </si>
  <si>
    <t>CONSERVAR  Y MANEJAR SOSTENIBLEMENTE 5.00 SECTORES DE PARQUES ECOLÓGICOS DISTRITALES DE MONTAÑA Y ÁREAS DE INTERÉS AMBIENTAL DEL DISTRITO CAPITAL</t>
  </si>
  <si>
    <t>GENERAR 2.00 ACCIONES INTEGRALES DE ORDENAMIENTO TERRITORIAL DE  BORDES URBANOS-RURALES EN EL SUELO DE PROTECCIÓN.</t>
  </si>
  <si>
    <t>GENERAR 3.00 ACCIONES DE GESTIÓN PARA EL MANEJO INTEGRAL EN LA PREVENCIÓN Y MITIGACIÓN DE INCENDIOS FORESTALES.</t>
  </si>
  <si>
    <t>MEJORAR AL 95.00 % LOS TIEMPOS DE RESPUESTA A EMERGENCIAS AMBIENTALES COMPETENCIA Y JURISDICCIÓN DE LA SDA.</t>
  </si>
  <si>
    <t>PROMOCIONAR  Y/O IMPLEMENTAR EN 500.00 FAMILIAS CAMPESINAS ACCIONES DE RECONVERSIÓN DE SISTEMAS PRODUCTIVOS AFINES A LA CONSERVACIÓN Y USO SOSTENIBLE DE LA BIODIVERSIDAD, LOS SUELOS Y EL AGUA.</t>
  </si>
  <si>
    <t>INTERVENIR 100.00 HECTÁREAS ESTRATÉGICAS ASOCIADAS AL ABASTECIMIENTO DE ACUEDUCTOS VEREDALES CON ACCIONES DE GESTIÓN AMBIENTAL</t>
  </si>
  <si>
    <t>GENERAR 2.00 LINEAMIENTOS AMBIENTALES ENFOCADOS A LA RECONVERSIÓN DE LOS SISTEMAS PRODUCTIVOS.</t>
  </si>
  <si>
    <t>DESARROLLAR 1.00 SISTEMA DE SEGUIMIENTO Y EVALUACIÓN A LA IMPLEMENTACIÓN DE LA  NORMATIVIDAD, POLÍTICAS, PLANES, PROGRAMAS E INICIATIVAS DE PROYECTOS AMBIENTALES</t>
  </si>
  <si>
    <t>GESTIONAR EN EL 100.00 % DE LOS INSTRUMENTOS DE GESTIÓN AMBIENTAL PRIORIZADOS, ACCIONES PARA SU IMPLEMENTACIÓN</t>
  </si>
  <si>
    <t>GENERAR 1.00 MODELO DE OCUPACIÓN EN EL BORDE SUR DEL SUELO DE PROTECCIÓN</t>
  </si>
  <si>
    <t>0.4</t>
  </si>
  <si>
    <t>INTERVENIR 14.00 KILÓMETROS DEL CORREDOR ECÓLOGICO DE CERROS ORIENTALES</t>
  </si>
  <si>
    <t>2.6</t>
  </si>
  <si>
    <t>46.61</t>
  </si>
  <si>
    <t>48.61</t>
  </si>
  <si>
    <t>218.97</t>
  </si>
  <si>
    <t>3.5</t>
  </si>
  <si>
    <t>0.8</t>
  </si>
  <si>
    <t>113.22</t>
  </si>
  <si>
    <t>92.7</t>
  </si>
  <si>
    <t>1.2</t>
  </si>
  <si>
    <t>Consolidación de una metodología de producción  eficiente y oportuna del material requerido para el proceso de restauración en los ecosistemas del D.C.
Definición de acciones para fortalecer la producción de material vegetal por parte de la SDA utilizando criterios de costo efectividad y promoviendo las especies nativas</t>
  </si>
  <si>
    <t>x</t>
  </si>
  <si>
    <t>Apoyar la gestión en 28 hectáreas para la adquisición y/o saneamiento predial de las rondas hidráulicas y/o ZMPA de tramos de Subunidades de Subcuencas urbanas.</t>
  </si>
  <si>
    <t xml:space="preserve">Conservar  y manejar sosteniblemente 6 Parques Ecológicos Distritales de humedal </t>
  </si>
  <si>
    <t>Línea 2: Gestión en el sistema orográfico del Distrito Capital</t>
  </si>
  <si>
    <t>Fortalecer y/o construir 4 viveros para la producción de material vegetal por tipo de ecosistema representativo en el Distrito Capital.</t>
  </si>
  <si>
    <t>Gestionar en 520 hectáreas de suelo de protección, su recuperación, rehabilitación y/o restauración.</t>
  </si>
  <si>
    <t>Conservar y manejar sosteniblemente 5 sectores de Parques Ecológicos Distritales de montaña y áreas de interés ambiental del Distrito Capital.</t>
  </si>
  <si>
    <t>Generar 2 acciones integrales de ordenamiento territorial de  bordes urbanos-rurales en el suelo de protección.</t>
  </si>
  <si>
    <t>Generar un modelo de ocupación en el borde sur del suelo de protección</t>
  </si>
  <si>
    <t>Generar 3 acciones de gestión para el manejo integral en la prevención y mitigación de incendios forestales.</t>
  </si>
  <si>
    <t>Mejorar al 95% los tiempos de respuesta a emergencias ambientales competencia y jurisdicción de la SDA.</t>
  </si>
  <si>
    <t>Línea 3:  Gestión para la sostenibilidad en la Ruralidad del Distrito Capital</t>
  </si>
  <si>
    <t xml:space="preserve">Promocionar y/o implementar en 500 familias campesinas, acciones de reconversión de sistemas productivos afines a la conservación y uso sostenible de la biodiversidad, los suelos y el agua. </t>
  </si>
  <si>
    <t>Línea 4:  Gestión para la implementación de  la normatividad, políticas,  planes, programas e iniciativas de proyectos ambientales</t>
  </si>
  <si>
    <t xml:space="preserve">Gestionar en el 100% de los instrumentos de gestión ambiental priorizados, acciones para su implementación </t>
  </si>
  <si>
    <t>Kennedy</t>
  </si>
  <si>
    <t>Vulnerable a los impacto ambientales</t>
  </si>
  <si>
    <t>Todos</t>
  </si>
  <si>
    <t>Parque Ecológico de Humedal Capellanía</t>
  </si>
  <si>
    <t>Capellania</t>
  </si>
  <si>
    <t>Humedal Capellanía</t>
  </si>
  <si>
    <t>Sin definir</t>
  </si>
  <si>
    <t>No identifica grupos étnicos</t>
  </si>
  <si>
    <t>Subcuenca del Río Tunjuelo</t>
  </si>
  <si>
    <t xml:space="preserve">Subcuencas  Torca </t>
  </si>
  <si>
    <t>Subcuencas   Salitre</t>
  </si>
  <si>
    <t>Subcuenca  Fucha</t>
  </si>
  <si>
    <t>Usaquén/Chapinero</t>
  </si>
  <si>
    <t>Microcuencas y rondas hídricas</t>
  </si>
  <si>
    <t xml:space="preserve">Usaquén – 1
Chapinero - 2
Santa Fé - 3
Engativá - 10
Suba - 11
Barrios Unidos – 12
Teusaquillo - 13
</t>
  </si>
  <si>
    <t xml:space="preserve"> San Cristóbal, Santa Fe, La Candelaria, Los Mártires, Antonio Nariño, Rafael Uribe Uribe, Puente Aranda, Teusaquillo, Kennedy y Fontibón</t>
  </si>
  <si>
    <t>Tunjuelito, Usme, Ciudad Bolívar, Bosa</t>
  </si>
  <si>
    <t>Distrital</t>
  </si>
  <si>
    <t xml:space="preserve">Parques Ecológicos Distritales de Humedales </t>
  </si>
  <si>
    <t>Parque Ecológico Distrital de Humedal Santa María del Lago</t>
  </si>
  <si>
    <t>Parque Ecológico Distrital de Humedal La Isla</t>
  </si>
  <si>
    <t xml:space="preserve">Parque Ecológico Distrital de Humedal Salitre </t>
  </si>
  <si>
    <t xml:space="preserve">Calle 73 A # 77A – 01 </t>
  </si>
  <si>
    <t xml:space="preserve">Engativá
</t>
  </si>
  <si>
    <t xml:space="preserve">UPZ Boyacá Real </t>
  </si>
  <si>
    <t>Suba</t>
  </si>
  <si>
    <t>C. Bolivar: Barrios:   Atlanta, La Coruña, Arborizadora Baja, El Chircal Sur, Las Acacias.</t>
  </si>
  <si>
    <t>Ciudad Bolivar /Tunjuelito</t>
  </si>
  <si>
    <t>Antigua zona de inundación del río Tunjuelo</t>
  </si>
  <si>
    <t>UPZ 65 Arborizadora/UPZ 66 San Francisco</t>
  </si>
  <si>
    <t>Bosa</t>
  </si>
  <si>
    <t xml:space="preserve">UPZ 
Apogeo 49 </t>
  </si>
  <si>
    <t>San Bernandino XXII, San Bernandino XXII Urbano, San Bernandino XXV Urbano</t>
  </si>
  <si>
    <t>UPZ Parque Salitre  103
Doce de Octubre  22</t>
  </si>
  <si>
    <t>Parque Popular Salitre, José Joaquín Vargas</t>
  </si>
  <si>
    <t>Sector conocido como San Bernardino</t>
  </si>
  <si>
    <t>Torca I Y Casablanca Suba7Niza Sur, Niza-Córdoba, Niza VIII, Lagos de Córdoba,Santa Cecilia y Lisboa,Ciudad Hunza, Almirante Colón y Bachué, al sur con El Cortijo, Bolivia, Bachué y Ciudadela Colsubsidio</t>
  </si>
  <si>
    <t>Zonas de ronda y ZMPA del humedal</t>
  </si>
  <si>
    <t>Parques Ecológicos Distritales de Humedal</t>
  </si>
  <si>
    <t>Fontibón/Kennedy</t>
  </si>
  <si>
    <t>Niza</t>
  </si>
  <si>
    <t xml:space="preserve">humedal de Tibanica </t>
  </si>
  <si>
    <t>Villa Anny I,Charles de Gaulle y José María Carbonell</t>
  </si>
  <si>
    <t>Bosa Central</t>
  </si>
  <si>
    <t>Humedales de Córdoba, Juan Amarillo o Tibabuyes y Jaboque</t>
  </si>
  <si>
    <t>Suba/Engativa</t>
  </si>
  <si>
    <t>Cordoba: Niza Sur, Niza-Córdoba, Niza VIII y Lagos de Córdoba; Jaboque: Bolivia, El Gaco, La Faena, La Riviera, San Antonio Engativa y  Villa Del Mar; Juan Amarillo: Bolivia Oriental, Ciudadela Colsubsidio, El Dorado, La Carolina De Suba, Santa Teresa De Suba, Tibabuyes</t>
  </si>
  <si>
    <t>Humedal Capellanía/Burro, La Vaca y Techo/ Meandro del Say</t>
  </si>
  <si>
    <t>Capellania, Modelia y Fontibón,  
 Chucua De La Vaca III,Ciudad Techo II Y Tintalá,El Vergel Oriental Y Nuevo Techo
El Charco Rural, El Charco I, Moravia, Zona Franca,</t>
  </si>
  <si>
    <t>UPZ- de Modelia, Fontibón y Capellanía, Ciudad Techo II Y Tintalá;  Zona Franca</t>
  </si>
  <si>
    <t>Boita II</t>
  </si>
  <si>
    <t xml:space="preserve">Zonas de ronda y ZMP en las Planicies de inundación o de desborde del río Tunjuelo y terrazas aluviales
</t>
  </si>
  <si>
    <t>Viveros de la SDA en el PEDMEN</t>
  </si>
  <si>
    <t>Viveros de la SDA en el Parque Soratama</t>
  </si>
  <si>
    <t>Usme</t>
  </si>
  <si>
    <t>060-Parque Entrenubes</t>
  </si>
  <si>
    <t xml:space="preserve"> Arrayanes, Bolonia, El Bosque Central, El Nuevo Portal II, El Refugio I, La Esperanza Sur, Los Olivares, Pepinitos, Tocaimita Oriental, Tocaimita Sur</t>
  </si>
  <si>
    <t>Zonas de restauración en el suelo de protección</t>
  </si>
  <si>
    <t>Soratama</t>
  </si>
  <si>
    <t>San Cristóbal Norte</t>
  </si>
  <si>
    <t>Carrera 2 ESTE # 167 – 42.</t>
  </si>
  <si>
    <t>Parque Ecológico  Distrital de Montaña-Entrenubes</t>
  </si>
  <si>
    <t>Estructura Ecológica Principal del D.C.</t>
  </si>
  <si>
    <t>Zonas  en proceso de recuperación, rehabilitación y/o restauración en el suelo de protección.</t>
  </si>
  <si>
    <t>Cerro Juan Rey/Cuchilla del Gavilán</t>
  </si>
  <si>
    <t xml:space="preserve"> Chisacá- Subcuenca Tunjuelito</t>
  </si>
  <si>
    <t>Predio La Australia-Bitter- Subcuenca Tunjuelito</t>
  </si>
  <si>
    <t>Parque Ecológico Distrital de Montaña Entrenubes</t>
  </si>
  <si>
    <t xml:space="preserve">Arborizadora Alta
</t>
  </si>
  <si>
    <t xml:space="preserve">Cerros Orientales </t>
  </si>
  <si>
    <t>Vereda El Hato</t>
  </si>
  <si>
    <t>Zonas de manejo y preservación ambiental y zonas de ronda del Embalse de Chisacá</t>
  </si>
  <si>
    <t>Embalse de Chisacá_Predios del acueducto de Bogotá</t>
  </si>
  <si>
    <t>Vereda El Destino</t>
  </si>
  <si>
    <t>Predio La Australia-Biter 13</t>
  </si>
  <si>
    <t>Área de Restauración de Santa Bárbara</t>
  </si>
  <si>
    <t>Ciudad Bolívar</t>
  </si>
  <si>
    <t>El tersoro, Jerusalen e Ismael Perdomo</t>
  </si>
  <si>
    <t>Parque Ecológico de Montaña Cerro Seco- Arborizadora Alta</t>
  </si>
  <si>
    <t xml:space="preserve">Torca, Sierras del Chicó, Parque Nacional </t>
  </si>
  <si>
    <t>San Cristóbal, Santa Fe, Chapinero y Usaquén</t>
  </si>
  <si>
    <t>Mirador de los Nevados</t>
  </si>
  <si>
    <t xml:space="preserve">Cerro Seco - Arborizadora Alta
</t>
  </si>
  <si>
    <t>Usaquén</t>
  </si>
  <si>
    <t>Usme/Rafael Uribe Uribe/San Cristobal</t>
  </si>
  <si>
    <t>Carrera 86 con Calle 145</t>
  </si>
  <si>
    <t>Flanco occidental de los cerros de Suba</t>
  </si>
  <si>
    <t>Suba Cerros</t>
  </si>
  <si>
    <t>Veredas Torca Rural 1, Torca rural 2 y Tibabita rural. Los desarrollos urbanos son Torca 1 y Torca 2. Para el desarrollo de la compilación y actualización de la información de Usaquén se toma como base el Diagnóstico Local de Usaquén de la Secretaría de Salud (2004) y Planeación Distrital.</t>
  </si>
  <si>
    <t xml:space="preserve">Veredas Barajas norte, La Lomita, Tuna Rural, Las Mercedes Suba Rural, Guaymaral, Casa Blanca Suba Rural 1 y Casablanca Suba Rural 2 y Casa Blanca Suba y las UPZ con los desarrollos urbanos legalizados de Casa Blanca Suba urbano 1 y 2, la Candelaria, La Conejera, Las Mercedes Suba y Nuestra Señora del Rosario. 
</t>
  </si>
  <si>
    <t>Paseo de los Libertadores</t>
  </si>
  <si>
    <t>La Academia,  Guaymaral, El Prado  y Tibabuyes</t>
  </si>
  <si>
    <t>Rafael Uribe</t>
  </si>
  <si>
    <t xml:space="preserve">Ciudad Bolívar
</t>
  </si>
  <si>
    <t>UPZ 69 Ismael Perdomo</t>
  </si>
  <si>
    <t>Santa Viviana, La Carbonera, Santo Domingo, Santa Helena, San 
Antonio del Mirador, El Espino, Cerro El Diamante, Mirador de la Estancia, Rincón del 
Porvenir y San Rafael</t>
  </si>
  <si>
    <t>Cerros Orientales y Zona rural  de Bogota D.C.</t>
  </si>
  <si>
    <t>San Cristóbal, Santa Fe, Chapinero, Usaquén, Suba y Sumapaz</t>
  </si>
  <si>
    <t>UPZ Rurales</t>
  </si>
  <si>
    <t>Todas</t>
  </si>
  <si>
    <t xml:space="preserve">Sitios que presentes emergencias ambientales </t>
  </si>
  <si>
    <t>Distrito</t>
  </si>
  <si>
    <t>Distriital</t>
  </si>
  <si>
    <t xml:space="preserve">Suelo rural de la localidades de Usme Cuenca media del Río Tunjuelo </t>
  </si>
  <si>
    <t xml:space="preserve">Suelo rural de la localidades de Ciudad Bolivar </t>
  </si>
  <si>
    <t>Suelo rural de la localidades de Sumapaz</t>
  </si>
  <si>
    <t xml:space="preserve">Usme </t>
  </si>
  <si>
    <t>Sumapaz</t>
  </si>
  <si>
    <t>Cuenca media del Río Tunjuelo</t>
  </si>
  <si>
    <t xml:space="preserve"> Cuenca Rio Blanco</t>
  </si>
  <si>
    <t xml:space="preserve">Veredas La Unión, Los Andes, Las Margaritas, Olarte, El Destino, El Hato, Arrayanes, Soches, El Destino, Curubital,
</t>
  </si>
  <si>
    <t>Las Mercedes, Santa Rosa, Pasquillita, Pasquilla, Santa Barbará, Mochuelo Alto, Quiba Alto.</t>
  </si>
  <si>
    <t xml:space="preserve">Suelo rural de la localidad de   Ciudad Bolívar </t>
  </si>
  <si>
    <t>Suelo rural de la localidad de   Usme</t>
  </si>
  <si>
    <t>Suelo rural de Sumapaz</t>
  </si>
  <si>
    <t xml:space="preserve"> Ciudad Bolívar</t>
  </si>
  <si>
    <t>Zonas de abastecimiento de acueductos veredales</t>
  </si>
  <si>
    <t xml:space="preserve"> Zona rural del Distrito Capital </t>
  </si>
  <si>
    <t>Zonas estrategicas para la conservación del agua, el suelo y la biodiversidad</t>
  </si>
  <si>
    <t>Localidad de Usme</t>
  </si>
  <si>
    <t>Localidad de  Ciudad Bolívar</t>
  </si>
  <si>
    <t xml:space="preserve"> Ciudad Boliívar</t>
  </si>
  <si>
    <t xml:space="preserve">Veredas Chisacá, La Unión, Arrayanes, Curubital,  Andes,  El Destino, Agualinda-Chiguaza, El Uval, Corinto Cerro Redondo, La Requilina,  Los Soches, Olarte, Tibaque y Usme Centro
</t>
  </si>
  <si>
    <t>Zonans de borde urbano-rural</t>
  </si>
  <si>
    <t>INTERVENIR 14 KILÓMETROS DEL CORREDOR ECÓLOGICO DE CERROS ORIENTALES.</t>
  </si>
  <si>
    <t>CONSERVAR  Y MANEJAR SOSTENIBLEMENTE 6.00 PARQUES ECOLÓGICOS DISTRITALES DE HUMEDAL</t>
  </si>
  <si>
    <t>2.00</t>
  </si>
  <si>
    <t xml:space="preserve">Cr63 57 G 47 Sur </t>
  </si>
  <si>
    <t>Las veredas Mochuelo Alto y Mochuelo Bajo Pasquilla</t>
  </si>
  <si>
    <t>Veredas Auras Animas y nazareth</t>
  </si>
  <si>
    <t>1800 usuarios de acueductos asoporquera y acupiedraparada Fuente ACODAL</t>
  </si>
  <si>
    <t>1380 usuarios de acueductos  de aguasdoradas Fuente ACODAL</t>
  </si>
  <si>
    <t>111 usuarios de acueducto Asouan Fuente ACODAL</t>
  </si>
  <si>
    <t>SUBA - ENGATIVÁ - BOSA - USAQUEN - BARRIOS UNIDOS - KENNEDY - FONTIBON</t>
  </si>
  <si>
    <t>LOCALIDADES DEL D.C CON HUMEDALES</t>
  </si>
  <si>
    <t>Engativá: 414666
Suba: 544454
Bosa: 307600
Usaquen: 227071
Kennedy: 514716
Fontibon: 175668
Barrios unidos: 114441
Total: 2300416</t>
  </si>
  <si>
    <t>Engativá: 452053
Suba: 602531
Bosa: 321466
Usaquen: 262455
Kennedy: 540134
Fontibon: 195308
Barrios Unidos: 123939
Total: 2497886</t>
  </si>
  <si>
    <t>Engativá: 866719
Suba: 1146985
Bosa: 629066
Usaquen: 489526
Kennedy: 1054850
Fontibon: 370976
Barrios Unidos: 238380
Total: 4796502</t>
  </si>
  <si>
    <t>Número de hectáreas de zonas de rondas hidráulicas y/o de manejo y protección ambiental de humedales gestionados</t>
  </si>
  <si>
    <t>N/A</t>
  </si>
  <si>
    <t xml:space="preserve">Timiza </t>
  </si>
  <si>
    <t>Total Meta</t>
  </si>
  <si>
    <t>Vivero en el Humedal La Vaca</t>
  </si>
  <si>
    <t>kennedy</t>
  </si>
  <si>
    <t>Chucua De La Vaca III</t>
  </si>
  <si>
    <t>Humedal La VACa</t>
  </si>
  <si>
    <t>Ecosistemas de humedal</t>
  </si>
  <si>
    <t>n.d</t>
  </si>
  <si>
    <t>nd</t>
  </si>
  <si>
    <t>Total meta</t>
  </si>
  <si>
    <t>veredas Animas, Auras, Raizal, Nazareth ,Taquecitos, Raizal y los Rios</t>
  </si>
  <si>
    <t>Vereda Soches , Corinto, Uva,  Chiguaza y Requilina</t>
  </si>
  <si>
    <t>Total Proyecto</t>
  </si>
  <si>
    <t>Mejoramiento del tiempo de respuesta frente a las emergencias en las que se activa la SDA, con lo cual se brinda un mejor servicio a la ciudadanía y se minimizan riesgos.</t>
  </si>
  <si>
    <t>5. Mantener  las áreas restauradas de  ronda hidraúlica y ZMPA en quebradas intervenidas por la SDA</t>
  </si>
  <si>
    <t>6. Evaluar y hacer seguimiento de los procesos de intervención físico-biótica desarrollados en PEDH.</t>
  </si>
  <si>
    <t>7. Generar los insumos técnicos para aprobación y seguimiento de PMA, Alertas Ambientales, Medidas de Protección,identificación y ampliaciones en áreas de ecosistemas humedal.</t>
  </si>
  <si>
    <t>Conservar y manejar sosteniblemente el 100.00 % de las hectáreas recuperadas, rehabilitadas y/o restauradas del río Tunjuelo.</t>
  </si>
  <si>
    <t xml:space="preserve">Las quebradas de la Subucuenca Salitre y Torca, ubicadas en los Cerros Orientales de Bogotá, son ecosistemas estratégicos  para mejorar la calidad de vida  de los capitalinos.  Las quebradas intervenidas presentan altos valores ecológicos y paisajisticos por su dinámicas territoriales. 
La apropiación de los proyectos se generó mediante la participación activa de la comunidad en los procesos  de recuperación y mantenimiento de las obras realizadas. </t>
  </si>
  <si>
    <t>Indicador finalizado en el año 2014</t>
  </si>
  <si>
    <t>Los 12 Parques Ecológicos Distritales de Humedal declarados, cuentan con Plan de Manejo Ambiental aprobado,  instrumentos de planificación que orientan la gestión en dichos ecosistemas hacia el logro de sus objetivos de conservación, a partir de una mirada de largo, mediano y corto plazo, enmarcada en las realidades naturales, socioculturales e institucionales y las dinámicas territoriales en las que se encuentran inmersos los humedales</t>
  </si>
  <si>
    <t xml:space="preserve">Implementación acciones de reconversión productiva en la ruralidad distrital: uso del árbol dentro del sistema productivo, acciones de protección del bosque, buenas prácticas productivas, uso de fertilizantes orgánicos en praderas y cultivos (compostaje y/o lombricultivo) y acciones sobre la seguridad alimentaria y autoabastecimiento. </t>
  </si>
  <si>
    <t xml:space="preserve">Contrato 801 de 2015
</t>
  </si>
  <si>
    <t>*Disminución del riesgo de pérdidas (ambientales, humanas y económicas) por la ocurrencia de incendios forestales. 
*Gestión permanente para control del retamo, lo cual minimiza el riesgo de ocurrencia de incendios.
*Vinculación de población en la prevención de incendios forestales.</t>
  </si>
  <si>
    <t>Apoyar o realizar un acompañamiento a la implementación de los instrumentos priorizados.
Se detectan alertas que pueden apoyar el proceso de revisión y eventualmente de re formulación de instrumentos, para hacer más eficiente la implementación y los alcances.</t>
  </si>
  <si>
    <t>Serranía El Zuque o otra area de interes ambiental</t>
  </si>
  <si>
    <t>Curubital, Margaritas, Arrayanes, Olarte, El Hato, La Unión, El Destino, el uval y Corinto Cerrorerondo</t>
  </si>
  <si>
    <t>Santa Rosa, Pasquilla, Pasquillita, Quiba Alto, Mochuelo Alto, Mochuelo Bajo, Quiba Bajo y Santa Bárbara</t>
  </si>
  <si>
    <t xml:space="preserve">Animas, Auras, Raizal, Nazareth ,Taquecitos, Raizal y los Rios. </t>
  </si>
  <si>
    <t>Zona franja de borde cerros</t>
  </si>
  <si>
    <t>PROYECTO:</t>
  </si>
  <si>
    <t>PERIODO:</t>
  </si>
  <si>
    <t>Vivero en el predio La Australia-Bitter 13</t>
  </si>
  <si>
    <t>EJECUTAR EN 140.00 HECTÁREAS DE ZONAS DE ALTO RIESGO NO MITIGABLE O ALTA AMENAZA, ACCIONES SOCIOAMBIENTALES Y/O ACCIONES DE ADMINISTRACIÓN, MANEJO Y CUSTODIA DE INMUEBLES RECIBIDOS</t>
  </si>
  <si>
    <t>Zonas de Alto riesgo no mitiga ble Rafael Uribe Uribe.</t>
  </si>
  <si>
    <t xml:space="preserve">Zonas de Alto riesgo no mitigable Ciudad Bolívar  </t>
  </si>
  <si>
    <t>UPZ 67 Lucero</t>
  </si>
  <si>
    <t>Quebrada Limas</t>
  </si>
  <si>
    <t>Acueducto Asoporquera predios La Rivera (11 Ha) y Buenos Aires (20 Ha), acueducto Asopiedraparada predio El Recuerdo (13 Ha) ), acueducto Pasquilla Centro predio La Palma (3.3 Ha)</t>
  </si>
  <si>
    <t>acueducto Aguas Doradas predios Uval 01 y Uval La Toscana (11 Ha), acueducto Agualinda Chiguaza en el predio San Luis (4.5 Ha), acueducto Aguas Claras Olarte en Centro de Instrucción y Entrenamiento Militar (0,7), acueductos El Destino y Corinto Cerroredondo predio Montebello (23.26 Ha), acueducto Acuamarg en los predios El Horizonte (0.18 Ha), La Palma (0.25 Ha), Delirios (0.1 Ha), Manantial (0.01 Ha) y acueducto Arrayanes Argentina predio Jamaica (1.5 Ha)</t>
  </si>
  <si>
    <t>Acueducto Asouan predio La Pradera (0.72 Ha).</t>
  </si>
  <si>
    <t xml:space="preserve">Arborizadora Alta, Veredas Pasquilla,Mochuelo Alto,  Mochuelo Bajo, Pasquillita, Quiba Alta, Quiba Baja, Santa Bárbara, Las Mercedes y Santa Rosa.
</t>
  </si>
  <si>
    <t xml:space="preserve">Programa 17 - Recuperación,  rehabilitación y restauración de la Estructura Ecológica Principal y de los espacios del agua
Programa
Programa 18 - Estrategia Territorial Regional frente al Cambio Climático. </t>
  </si>
  <si>
    <t>PÁRAMOS Y BIODIVERSIDAD</t>
  </si>
  <si>
    <t>Construcción de un espacio de valoración y formación ambiental con énfasis en la importancia vital del recuro hídrico y los econosistemas denominado "Parque del Agua"</t>
  </si>
  <si>
    <t>Espacio de valoración y formación ambiental construido</t>
  </si>
  <si>
    <t>Espacio</t>
  </si>
  <si>
    <t xml:space="preserve">El área delimitada como Parque del agua corresponde a  58 ha, de las cuales 21 ha tiene influencia con  los 3 km adecuados por la EAB, las 37 ha  restantes corresponden  al área de influencia de los proyectos a desarrollar de restauración ecológica y mejoramiento paisajístico por parte de la SDA y la  Alcaldía de La Candelaria. Para el área de influencia la SDA y la  Alcaldía de La Candelaria, se definieron tres componentes: a) restauración ecológica; b) participación social y c) mejoramiento paisajístico.a) Componentes de Restauración ecológica: se ponderó con el 50% de las acciones a desarrollar en el Parque del agua, dado que la conservación, uso y manejo de los ecosistemas son la base para  la preservación del recurso hídrico y la biodiversidad. El diagnóstico biofísico y socioeconómico  realizado en el marco del convenio 1303 de 2013, arrojó resultados importante para orientar las acciones  en función de ordenar el territorio alrededor de los espacios del agua. En este sentido se definió que  de las  37 ha de influencia,  13,6 ha  son áreas que requieren la implementación de acciones de restauración ecológica.La SDA  adelantó  los convenios se asociación  1303 de 2013 y 1310 de 2015, con el objetivo de realizar acciones de recuperación integral de las quebradas Padre de Jesús, Mochón del Diablo y San Bruno, quebradas inmersas en el área delimitada como Parque del agua. A la fecha se tiene un avance de 13,8 % de intervención de las áreas priorizadas y se desarrollan acciones directas en campo para la intervención de las áreas restantes. El porcentaje restante corresponde al diagnóstico y diseño que ya fueron realizados, para un total de 38,75% de avance. Si bien la intervención de las áreas potenciales es un primer paso para la recuperación de los espacios asociados a los cuerpos de agua, se requiere aunar esfuerzos para dar continuidad a las acciones de la recuperación de quebradas. (enriquecimiento vegetal, sostenibilidad y seguimiento)Participación social: se ponderó con el 30% de las acciones a desarrollar en el Parque del agua, enfocadas en la apropiación e identidad del Proyecto Parque del Agua.Con miras de generar sostenibilidad y  apropiación  de las acciones adelantadas, se  requiere  trabajar con la comunidad local identificada en el área de influencia del proyecto, buscando su organización  comunitaria y ambiental. Avance: La vinculación de  líderes comunitarios como  gestores  ambientales residentes del área  donde se han adelantados proyectos de restauración ecológica por parte de la SDA, así como la realización de jornadas de sensibilización, talleres y encuentros focales, corresponden a acciones enfocadas  al proceso de organización  del territorio y  la participación social en este proceso. La EAB también vinculó en el proceso de adecuación de los senderos 3 promotoras ambientales.A ello se resalta las iniciativas del FDL de la Candelaria, Santa Fe. 
</t>
  </si>
  <si>
    <t>Reportes dados por la S. E.R.</t>
  </si>
  <si>
    <t xml:space="preserve"> </t>
  </si>
  <si>
    <t xml:space="preserve">Las zona de Boíta, Jacqueline y Villa del Río, se encuentra ubicada a márgenes del rio Tunjuelo, cuenca que hace parte de la estructura ecológica principal del Distrito; estos espacios al no tener intervención, ni cercado de ningún tipo, se habían convertido en una zona de descargue de basuras y escombros, de igual manera en foco de inseguridad; por lo anterior las acciones de preparación de terreno, plantación en diseños de Restauración Ecológica y mantenimiento, han mejorado el estado de las zonas aledañas, como su visualización y apropiación por parte de los residencias aledañas.
Dentro de los criterios técnicos tenidos en cuenta en el diseño están la definición de barreras de olores y núcleos hexagonales constituidos por especies nativas, resistentes a inundaciones, las cuales también competirán por el espacio con los pastos y las Acacias plantadas en la zona y atraerán las aves. </t>
  </si>
  <si>
    <t>Sensibilización por los procesos de recuperación ecológica en el suelo de protección, participación de actividades como siembra, jornadas de limpieza de cuerpos de agua.</t>
  </si>
  <si>
    <t>N.A</t>
  </si>
  <si>
    <t>Continuar con los procesos de restauración ecológica en la Cuenca Media del Río Tunjuelo</t>
  </si>
  <si>
    <t>Convenio 999 de 2013</t>
  </si>
  <si>
    <t>•Manejo ambiental de zonas de alto riesgo no mitigable.
•Prevención frente a la ocupación ilegal de estas zonas.
•Apropiación territorial por parte de la comunidad aledaña a las zonas de riesgo. 
•Mayor reconocimiento de la gestión de la autoridad ambiental.
•Fortalecimiento de la gestión social y ambiental en el territorio.</t>
  </si>
  <si>
    <t>Esta meta fue ejecutada por la EAB</t>
  </si>
  <si>
    <t xml:space="preserve">Los lineamientos se empezaron a trabajar en el mes de mayo de 2013, se establecieron sobre una revisión bibliográfica de la información base de la entidad sobre los avances en la construcción de lineamientos ambientales desde la SER, en específico los productos del contrato 1326 de 2012 "elementos generales para la construcción de lineamientos ambientales para la reconversión de sistemas productivos sostenibles en la ruralidad del Distrito Capital" y se  hizo una revisión de los informes ejecutivos de los Planes de Manejo en espacios rurales como punto de partida para establecer los lineamientos de manera participativa, e igualmente resultados de los convenios de implementación de Buenas Prácticas Agrícolas y Ganadearas realizados por la entidad en 2010.  
El documento tuvo que someterse a cambios debido a la dinámica normativa de la ciudad y la región, para el caso la suspensión del MEPOT y la entrada en vigencia del re-alinderamiento de la reserva productora y protectora de la cuenca alta del rio Bogotá. La cual afecta los puntos donde se deben aplicar los lineamientos. 
A hoy, se tiene un documento en donde se han incorporado las observaciones hechas por la Dirección de Gestión Ambiental,  la Subdirección de Políticas de la SDA y la CAR con el fin de establecer un documento final. El documento se entregó a la oficina de PNN de Sumapaz sin que se recibieran observaciones al respecto. Con este resultado se ha e entregado copia del documento que contiene los lineamientos la SDDE y SDP con el fin de enriquecer los procesos de construcción de los instrumentos de ordenamiento territorial (UPR) y procesos de gestión llevados por estos sectores
</t>
  </si>
  <si>
    <t>Predio Padres Píos y Mindefensa.
Predio La Arboleda, Parque El Virrey, Colegio Monseñor Bernardo Sánchez y vía a Ubaque.
Parque Nacional</t>
  </si>
  <si>
    <t>126PG01-PR02-F-A5-V9.0</t>
  </si>
  <si>
    <t>GESTIONAR 331,13 HECTÁREAS DE LAS ZONAS DE RONDA HIDRÁULICA Y/O ZONAS DE MANEJO Y PROTECCIÓN AMBIENTAL - ZMPA DE TRAMOS DE  HUMEDALES, PARA SU RECUPERACIÓN, REHABILITACIÓN Y/O RESTAURACIÓN.</t>
  </si>
  <si>
    <t xml:space="preserve">Durante el periodo de enero a mayo 2016 se ejecutaron las siguientes acciones de recuperación ecológica en las zonas de abastecimiento de acueductos veredales: 
1. Intervención nueva en 1,5 ha en el predio El Salero (Acueducto veredal El Saltonal) y 1,5 ha en Acuapiedra Parada predio El recuerdo, para un total intervenido en el 2016 de 3 ha.
2. Mantenimiento con la fertilización foliar y arreglo de cercas, así como monitoreos al material vegetal en todas las áreas intervenidas: Agualinda Chiguaza, El Destino, Corinto Cerroredondo, Aguas Claras Olarte, Acuamarg, Arrayanes Argentina en la localidad de Usme y La Porquera, Piedraparada, Saltonal y Pasquilla Centro en la localidad de Usme. Se inician labores de replante en predio San Luis ubicado en el Acueducto Veredal de Agualinda Chiguaza. 
3. Sensibilización y formación para la conservación y manejo ambiental de 14 ha en el predio San Luis Acueducto Agualinda Chiguaza, con la incorporación acciones de gestión ambiental enfocadas a que el propietario del predio se concientice sobre la conservación de los recursos y servicios ambientales allí encontrados, esto con el fin de incentivar su conservación o posible ampliación del área 
Logrando consolidar durante el cuatrienio la siguiente gestión:
1. Acuerdos de implementación de actividades de recuperación ecológica participativa con veintiun (21) acueductos veredales distribuidos por localidades de la siguiente manera:  nueve (9) en Usme: El Destino, Corinto Cerroredondo, Aguas Claras Olarte, Agualinda Chiguaza, Aguas Doradas, Acuamarg, Arrayanes Argentina, Asocristalina Curubital; nueve (9) acueductos veredales en Ciudad Bolívar: Aacupasa, Asocerritoblanco, Asoporquera, Acuavida, Acuepiedraparada, Pasquilla Centro, El Saltonal, Aguas Calientes, Asoquiba y tres (3) en Sumapaz: Asouan, Asoperabeca y Asoagua y Cañizo
2. Sensibilización y formación para la conservación y manejo ambiental en 132.15 hectáreas los siguientes predios rurales:
Localidad de Ciudad Bolívar (67,5 ha):
• Acueducto  de Asoporquera Predio Buenos Aires 20 ha, Predio La Rivera  11ha y 1,5 ha en el nacimiento de La Porquera. 
• Acueducto  Acuaepiedraparada Predio El  Recuerdo 14.5 ha 
• Acueducto Pasquilla Predio a Palma 3,3 ha
• Acueducto El Saltonal,  Predio El Salero 17,20 ha 
Localidad de Usme (62,43 ha): 
• Acueducto Acuamarg Predio La Palma 0,72 Ha, Predio Horizonte 0,18 ha, Predio Delirios 0,2 ha, Predio Manantial 0,03 ha
• Acueducto Agualinda Chiguaza predio San Luis 22 ha
• Acueducto Aguas Claras Olarte Predio Monte bello 1,7 ha
• Centro de Entrenamiento Militar 0,7 ha
• Acueducto Aguas doradas, predio Uval la toscana 11 ha
• Acueductos del Destino y de Corinto Cerroredondo Predio Monte bello 24,4 ha
• Acueducto Arrayanes Argentina, Predio Jamaica Usme 1,5 ha
Localidad de Sumapaz (0,72 ha)
• Acueducto Asouan  Predio La Pradera 0,72 ha
3. Restauración ecológica participativa en 45 hectáreas en zonas abastecedoras de 12 acueductos veredales, consolidados de la siguiente manera:
• Año 2016: Acuepiedra parada: 1.5 Ha (Ciudad Bolívar) y Acueducto Saltonal 1.5 Ha (Usme)
• Año 2015: Asouan 0.52 Ha (Sumapaz), Acuepiedraparada 4.4 Ha, Pasquilla Centro 3.3 Ha, El saltonal  1 .7 Ha (Ciudad Bolívar), Agualinda Chiguaza 1.7 Ha,El Destino 3.05 Ha, Aguas claras Olarte  1 Ha, Acuamarg  1.13 Ha,  (Usme) :16.75 ha
• Año 2014: Asoporquera 0.2 Ha (Ciudad Bolívar), Agualinda Chiguaza 3 Ha (Usme), Asouan 0.2 Ha (Sumapaz), Aguas Claras Olarte 0.7 Ha (Usme) y Acuepiedraparada 8.6 Ha (Ciudad Bolívar): 12.7 ha
• Año 2013: Aguas Doradas 11 Ha (Usme).
• Año 2012: Asoporquera 1.5 Ha (Ciudad Bolívar)
</t>
  </si>
  <si>
    <t>Varios acueductos veredales estaban atravesando situaciones críticas, dadas por conflictos no solo socioambientales sino relacionados con el control de las fuentes hídricas,  que surten los acueductos veredales de municipios vecinos (Bogotá –Soacha – Une,  entre otros); así mismo, existen problemas de abastecimiento por  falta de planeación (caso Mochuelo Alto y Bajo, a quienes la construcción de un macro-colegio les tiene en riesgo la provisión de agua para consumo humano), y problemas generados por la alta demanda del recurso hídrico que tienen las fuentes abastecedoras (Caso quebradas aguas calientes y el Ajo entre otras).
Basado en lo anterior, se propuso  se manera concertada entre la institución y la comunidad, desarrollar acciones de prevención y/o corrección a la alteración de los ecosistemas estratégicos conexos con la regulación y producción de agua para los acueductos veredales principalmente desde los nacimientos; ya que la pérdida de caudales guarda estrecha relación con la pérdida de coberturas vegetales y de suelo retenedor del agua; así mismo, las prácticas agrícolas como la mecanización de suelo con el uso de tractores y el pisoteo del ganado, normalmente vistas en Usme, Ciudad Bolívar y Sumapaz principalmente, compactan los suelos y disminuyen la capacidad de infiltración del agua, lo cual finalmente se refleja en la disminución y afectación por sedimentación de los caudales.</t>
  </si>
  <si>
    <t>Informes de actividades de los contratos de prestación del servicios 1162/2015, 1396/2015, 979/2015, 1128/2015, 761/2015, quienes hacen parte del grupo de Ruralidad de la SER.</t>
  </si>
  <si>
    <t>META CUMPLIDA</t>
  </si>
  <si>
    <t>Las zona de Boíta, Jacqueline y Villa del Río, se encuentra ubicada a márgenes del rio Tunjuelo, cuenca que hace parte de la estructura ecológica principal del Distrito; estos espacios al no tener intervención, ni cercado de ningún tipo, se habían convertido en una zona de descargue de basuras y escombros, de igual manera en foco de inseguridad; por lo anterior las acciones de preparación de terreno, plantación en diseños de Restauración Ecológica y mantenimiento, han mejorado el estado de las zonas aledañas, como su visualización y apropiación por parte de los residencias aledañas.</t>
  </si>
  <si>
    <t>Cumplida</t>
  </si>
  <si>
    <t>Con las medidas de protección se logró impedir y/o detener el desarrollo de procesos de desarrollo urbano, obras de infraestructura urbana y frenar cualquier actividad que pueda actuar en contra de los valores ambientales presentes en el sector declarado como área de protección ambiental, así como apartar las que estén asociadas o acentúen los factores de riesgo identificados en los sectores definidos.</t>
  </si>
  <si>
    <t>Informe de actividades de los siguientes contratos de prestación de servicios 1019/2015, 1234/2015, 1195/2015, 1167/2015, 1163/2015, 1291/2015, 1252/2015, 868/2015, 1431/2015</t>
  </si>
  <si>
    <t xml:space="preserve">Mejoramiento de bienes y servicios ambientales proporcionados por la EEP,  lo cual refleja impactos positivos en la variabilidad climática, el cambio climático, en la calidad del aire, que beneficia la salud y en consecuencia la calidad de vida de los habitantes a lo largo del territorio distrital y particularmente en sectores distritales de segregación social y ambiental que derivan en fenómenos sociales de violencia, pobreza e inequidad (sector de Usme y Ciudad Bolívar principalmente). </t>
  </si>
  <si>
    <t>Informes de gestión del contrato 1451 de 2015 con Ecoflora y los informes de actividades de los grupos de restauración en la Subdirección de Ecosistemas y Ruralidad</t>
  </si>
  <si>
    <t>Contrato 1209 de 2015 y las actas de reuniones con las comunidades.</t>
  </si>
  <si>
    <t>Se fortaleció la institucionalidad regional con la gestión conjunta en la formulación del  PMA de la Reserva Forestal Thomas Van der Hammen, y se continua con la intervención en forma concertada para la adquisición de predios en el borde Norte, como estrategia para consolidar el corredor entre los cerros orientales y el río Bogotá. Adicionalmente se cuenta con el Plan de Manejo Ambiental del Cerro de Torca, área protegida del D.C.</t>
  </si>
  <si>
    <t>informe de gestión del 133/2016</t>
  </si>
  <si>
    <t xml:space="preserve">De enero a mayo de 2016, se inicio la implementación de acciones de acuerdo con los lineamientos ambientales determinados en el modelo de ocupación en la Franja, con la  implementación de herramientas del Paisaje, en 100 predios de zona de borde los cuales fueron priorizados por el IAVH, de estos 35  predios,  ubicados en la las veredas Requilina (10 predios), Uval (10 predios) en  localidad de Usme y en la localidad de Ciudad Bolívar en mochuelo Alto (11 predios) y en Quiba Bajo (4 predios). En el desarrollo de estas actividades se hizo seguimiento y supervisión de los trabajos realizados, mediante el desarrollo de recorridos donde se verificó  con los propietarios de los predios los trabajos realizados a satisfacción teniendo en cuenta los lineamientos de la SDA.
</t>
  </si>
  <si>
    <t>Se está avanzando en la construccion de una visión compartida para las zonas de borde, lo cual brinda insumos para consolidar un modelo en el borde sur, donde se espera consolidar un territorio rural con beneficio a las familias campesinas ubicadas en las localidades de Usme y Ciudad Bolívar.</t>
  </si>
  <si>
    <t>Informes de gestión de los contratos de prestación de servicios del 886/2015 y 1174/2015. Y el convenio 1396 de 2015 con Fundación Sabanas.</t>
  </si>
  <si>
    <t>La continuidad en los procesos de administración y manejo institucional en los sectores de la Estructura Ecológia Princpial como son el  Parque Ecológicos Distrital de Montaña Entrenubes, los Parques Ecológicos Distrital de Humedal y otras áreas de interés ambiental como las zonas de riesgo no mitigable; garantiza el mejoramiento de las condiciones óptimas de éstos espacios y su disponibilidad en la oferta ambiental de la ciudad. 
En las zonas de alto riesgo no mitigable se aportó a la apropiación territorial por parte de la comunidad aledaña y se logró mayor reconocimiento de la gestión de la autoridad ambiental.
Disminución en la ocurrencia de incendios forestales y/o en sus efectos.
 Mejoramiento del tiempo de respuesta frente a las emergencias en las que se activa la SDA, con lo cual se brindó un mejor servicio a la ciudadanía y se minimizaron riesgos.</t>
  </si>
  <si>
    <t xml:space="preserve">De enero a mayo de 2016 se vincularon 46 familias nuevas (41 familias en la cuenca Tunjuelo y 5 en la cuenca del río blanco),  quienes cuentan con registro, plan finca e Indicadores de sostenibilidad Ambiental (verificación del estado y avance de las familias vinculadas por la SDA al proceso). Con estas familias se desarrollan  acciones desarrolladas de capacitación, asesoría y/o validación de acciones de reconversión de sistemas productivos y articulación de los aspectos productivos con las herramientas de manejo del paisaje, logrado:
•  Protección de 2.343 metros lineales en aislamiento de bosque.
• 25 familias capacitadas en el uso del árbol y buenas prácticas productivas, 
• 1.326 metros lineales de cerca vivas, 
• 2 familias apoyadas con uso de lombricultivo para uso dentro del sistema productivo y huerta
De esta manera se consolidad las 500 familias campesinas vinculadas a procesos de reconversión productiva con fines a la conservación del agua, suelo y biodiversidad con los resultados en las dos cuencas:
En las familias de la cuenca del Tunjuelo (217 familias en la localidad de Usme y 206 familias en la zona rural de Ciudad Bolívar) y en la cuenca del Rio Blanco en Sumapaz existen las 77 familias vinculadas, con el desarrollo de las siguientes acciones: 
•  Se establecen 24,61 ha para protección ambiental sobre área productiva, con esto se aumenta el área de conservación en la ruralidad y de conexión ecológica
•  Se  protegen 35.083,34 m² vinculados a espacios del agua, lo cual se establecio con 16420,1 metros lineales de aislamiento.
• Se instalan 18.521,86 metros lineales de aislamiento para la protección de bosque
• Se instalan 52.553,65 metros lineales de cerca viva como estrategia de aumento de biodiversidad y uso del árbol dentro del sistema productivo 
• 491 familias capacitadas en el uso del árbol y buenas prácticas productivas, 
• 165 huertas caseras fortalecidas,
• 147  familias apoyadas con prácticas de uso eficiente del recurso hídrico,
• 39  invernaderos establecidos o mejorados para la seguridad alimentaria y con inclusión de especies promisorias y 
• 62 familias con mejoramiento de instalaciones pecuarias para minimización de impactos ambientales y con acciones de Buenas Prácticas Productivas.
</t>
  </si>
  <si>
    <t xml:space="preserve">Informe de activdades de los Contratos de prestación de servicios No. 1396/2015, 254/2016 y 216 de 2016.
1162/2015, 1396/2015, 441/2015, 897/2015, 822/2015, 90/2015, 1124/2015, 308/2015,1322016, 6582016, 5462016, 9372016, 2542016, 7932016  Y 2692016
</t>
  </si>
  <si>
    <r>
      <t>De enero a mayo 2016, se realizó la evaluación de los documentos para el otorgamiento del Permiso de Ocupación de Cauce para la intervención física que realizará la CAR en el sector nor-occidental del PEDH Juan Amarillo (</t>
    </r>
    <r>
      <rPr>
        <b/>
        <sz val="11"/>
        <rFont val="Arial"/>
        <family val="2"/>
      </rPr>
      <t>3 hectárea</t>
    </r>
    <r>
      <rPr>
        <sz val="11"/>
        <rFont val="Arial"/>
        <family val="2"/>
      </rPr>
      <t xml:space="preserve">) y se realizó seguimiento al estado de los vertederos de los PEDH Tibanica y Córdoba, el biofiltro de La Vaca, y la estructura disipadora de energía del Burro, equivalente a una </t>
    </r>
    <r>
      <rPr>
        <b/>
        <sz val="11"/>
        <rFont val="Arial"/>
        <family val="2"/>
      </rPr>
      <t>1 hectárea</t>
    </r>
    <r>
      <rPr>
        <sz val="11"/>
        <rFont val="Arial"/>
        <family val="2"/>
      </rPr>
      <t xml:space="preserve">. 
Adicionalmente, se hizo el acompañamiento técnico a los procesos de formulación de los PEDH El Salitre, Tunjo y La Isla, mediante el aporte de información técnica, verificación en campo y lineamientos para la construcción de la línea base. 
De esta manera se consolida durante este cuatrienio la gestión en 331,06 ha en los humedales para su recuperación, rehabilitación y/o restauración de la siguiente manera:
1.  En procesos de  Restauración Ecológica en Zonas de Ronda y ZMPA en humedales 4, 31 hectáreas en el Parque Ecológico Distrital Juan Amarilla (4 ha) y en el Parque Ecológico Distrital La Conejera en el Sector de Fontanar (0.31 ha). Esa gestión se realizó con el acompañamiento  de la comunidad en los procesos de  siembras el 5 de junio de 2014  y 23 de diciembre con la plantación de 500 individuos aprox. y el cerramiento de 3,2  km con el grupo de vigías del agua  con el convenio 999 de 2013 se completó la plantación a 3.108 árboles en el Parque Juan Amarillo. Las demás hectáreas  que responden al indicador “Número de hectáreas de humedales recuperadas” están bajo la responsabilidad de la EAB. Adicionalmente, en la vigencia 2013  se ajustaron los diseños para la restauración ecológica de 2 ha en el humedal Tibanica. Para un total de gestión en 6,31 ha.
2. Lineamientos y pronunciamientos técnicos. Se hizo la evaluación y seguimiento a los procesos de intervención físico-biótica desarrollados en PEDH, para lo cual se ha gestionado entre otros lo siguiente: i) revisión de los documentos técnicos remitidos por la consultoría que se encuentra ejecutando las obras de reconformación hidrogeomorfológica de la franja acuática y semiacuática del PEDH El Burro (3,5 ha)  y el seguimiento a la reutilización y disposición de material producto de la excavación de vaso de agua del tercio medio del PEDH El Burro (1ha), ii) elaboración de los informe técnico sobre los diseños presentados por la Alcaldía Local de Suba para la implementación del sistema de biotratamiento en el brazo del PEDH Juan Amarillo (5,5 ha) y  iii)  acompañamientos con visitas técnicas por parte de la SER para la propuesta de reconformación hidrogeomorfológica y rehabilitación de hábitats acuáticos en PEDH Jaboque (6 ha), iv) apoyo al seguimiento y evaluación de la obra de reconformación hidrogeomorfológica y restauración ecológica del PEDH Tibanica y las ejecución de la primera fase de las obras de adecuación hidráulica y ambiental priorizadas (6 ha), particularmente lo relacionado con la falla de la estructura de salida de agua, para lo cual se realizaron los aforos respectivos contrastados con la evaluación técnica realizada por la EAB. Así mismo, se viene analizando la viabilidad de las alternativas de suministro hídrico al humedal para suplir su déficit, v) se elaboró el documento técnico de evaluación de impacto del asentamiento Lagos de Castilla sobre el PEDH de Techo y sus recursos (4 ha), vi) evaluación de los documentos para el otorgamiento del Permiso de Ocupación de Cauce para la intervención física que realizará la CAR en el sector noroccidental del PEDH Juan Amarillo (3 hectáreas) y vii)seguimiento al estado de los vertederos de los PEDH Tibanica y Córdoba, el biofiltro de La Vaca, y la estructura disipadora de energía del Burro, para un total de 1 hectárea Para un total de 30 hectáreas gestionadas.
3. Declaración de nuevas áreas de humedales: Se brindó el apoyo técnico para la declaratoria de 40,93 hectáreas nuevas como Parques Ecológica Distrital de Humedal mediante  el Acuerdo 577 del 26 de diciembre de 2014  en los humedales El Tunjo (33.23 ha) y La Isla (7,7 ha) en la Subcuenca Tunjuelo. 
4. Aprobación de los PMA: Se  brindó los insumos técnicos y el aval técnico para la aprobación de los PMA de los PEDH Jaboque, Torca y Guaymaral, Meandro del Say,  mediante Resoluciones Conjuntas CAR-SDA 01, 02 y 03 respectivamente, y Resolución SDA 096 para el caso del PEDH La Conejera.  
5. Medidas de Protección: Se adelantó el soporte técnico para la expedición de tres medidas de protección de zonas aledañas a los siguientes humedales: Áreas aledañas a Jaboque 100,13 ha (Resolución de la SDA 1097 de 2015), Áreas aledañas a Torca-Guaymaral 131 ha (Resolución de la SDA  819 DE 15) y Áreas del humedal Burrito, Resolución de la SDA 1238 de 201212 para 4,44 ha.  Para un total de 235,57 ha.
6. Identificación de nuevas áreas de humedales: se adelantó la verificación de nuevas zonas  con características de humedal  en el área rural del Distrito Capital en 18.25 ha.
</t>
    </r>
  </si>
  <si>
    <r>
      <t xml:space="preserve">Durante el periodo de enero a mayo 2016 se ejecutaron las siguientes acciones de recuperación ecológica en las zonas de abastecimiento de acueductos veredales: 
1. Intervención nueva en 1,5 ha en el predio El Salero (Acueducto veredal El Saltonal) y 1,5 ha en Acuapiedra Parada predio El recuerdo, para un total intervenido en el 2016 de </t>
    </r>
    <r>
      <rPr>
        <b/>
        <sz val="11"/>
        <rFont val="Arial"/>
        <family val="2"/>
      </rPr>
      <t>3 ha.</t>
    </r>
    <r>
      <rPr>
        <sz val="11"/>
        <rFont val="Arial"/>
        <family val="2"/>
      </rPr>
      <t xml:space="preserve">
2. Mantenimiento con la fertilización foliar y arreglo de cercas, así como monitoreos al material vegetal en todas las áreas intervenidas: Agualinda Chiguaza, El Destino, Corinto Cerroredondo, Aguas Claras Olarte, Acuamarg, Arrayanes Argentina en la localidad de Usme y La Porquera, Piedraparada, Saltonal y Pasquilla Centro en la localidad de Usme. Se inician labores de replante en predio San Luis ubicado en el Acueducto Veredal de Agualinda Chiguaza. 
3. Sensibilización y formación para la conservación y manejo ambiental de 14 ha en el predio San Luis Acueducto Agualinda Chiguaza, con la incorporación acciones de gestión ambiental enfocadas a que el propietario del predio se concientice sobre la conservación de los recursos y servicios ambientales allí encontrados, esto con el fin de incentivar su conservación o posible ampliación del área 
Logrando consolidar durante el cuatrienio la siguiente gestión:
1. Acuerdos de implementación de actividades de recuperación ecológica participativa con veintiun (21) acueductos veredales distribuidos por localidades de la siguiente manera:  nueve (9) en Usme: El Destino, Corinto Cerroredondo, Aguas Claras Olarte, Agualinda Chiguaza, Aguas Doradas, Acuamarg, Arrayanes Argentina, Asocristalina Curubital; nueve (9) acueductos veredales en Ciudad Bolívar: Aacupasa, Asocerritoblanco, Asoporquera, Acuavida, Acuepiedraparada, Pasquilla Centro, El Saltonal, Aguas Calientes, Asoquiba y tres (3) en Sumapaz: Asouan, Asoperabeca y Asoagua y Cañizo
2. Sensibilización y formación para la conservación y manejo ambiental en 132.15 hectáreas los siguientes predios rurales:
Localidad de Ciudad Bolívar (67,5 ha):
• Acueducto  de Asoporquera Predio Buenos Aires 20 ha, Predio La Rivera  11ha y 1,5 ha en el nacimiento de La Porquera. 
• Acueducto  Acuaepiedraparada Predio El  Recuerdo 14.5 ha 
• Acueducto Pasquilla Predio a Palma 3,3 ha
• Acueducto El Saltonal,  Predio El Salero 17,20 ha 
Localidad de Usme (62,43 ha): 
• Acueducto Acuamarg Predio La Palma 0,72 Ha, Predio Horizonte 0,18 ha, Predio Delirios 0,2 ha, Predio Manantial 0,03 ha
• Acueducto Agualinda Chiguaza predio San Luis 22 ha
• Acueducto Aguas Claras Olarte Predio Monte bello 1,7 ha
• Centro de Entrenamiento Militar 0,7 ha
• Acueducto Aguas doradas, predio Uval la toscana 11 ha
• Acueductos del Destino y de Corinto Cerroredondo Predio Monte bello 24,4 ha
• Acueducto Arrayanes Argentina, Predio Jamaica Usme 1,5 ha
Localidad de Sumapaz (0,72 ha)
• Acueducto Asouan  Predio La Pradera 0,72 ha
3. Restauración ecológica participativa en </t>
    </r>
    <r>
      <rPr>
        <b/>
        <sz val="11"/>
        <rFont val="Arial"/>
        <family val="2"/>
      </rPr>
      <t>45 hectáreas</t>
    </r>
    <r>
      <rPr>
        <sz val="11"/>
        <rFont val="Arial"/>
        <family val="2"/>
      </rPr>
      <t xml:space="preserve"> en zonas abastecedoras de 12 acueductos veredales, consolidados de la siguiente manera:
• Año 2016: Acuepiedra parada: 1.5 Ha (Ciudad Bolívar) y Acueducto Saltonal 1.5 Ha (Usme)
• Año 2015: Asouan 0.52 Ha (Sumapaz), Acuepiedraparada 4.4 Ha, Pasquilla Centro 3.3 Ha, El saltonal  1 .7 Ha (Ciudad Bolívar), Agualinda Chiguaza 1.7 Ha,El Destino 3.05 Ha, Aguas claras Olarte  1 Ha, Acuamarg  1.13 Ha,  (Usme) :16.75 ha
• Año 2014: Asoporquera 0.2 Ha (Ciudad Bolívar), Agualinda Chiguaza 3 Ha (Usme), Asouan 0.2 Ha (Sumapaz), Aguas Claras Olarte 0.7 Ha (Usme) y Acuepiedraparada 8.6 Ha (Ciudad Bolívar): 12.7 ha
• Año 2013: Aguas Doradas 11 Ha (Usme).
• Año 2012: Asoporquera 1.5 Ha (Ciudad Bolívar)
</t>
    </r>
  </si>
  <si>
    <r>
      <t>Durante el periodo de enero a mayo de 2016, se adelantó la siguiente gestión de restauración ecológica en el suelo de protección:
1. Acciones de intervención en áreas nuevas: en el Parque Ecológico Distrital de Montaña Entrenubes – PEDMEN, se realizó la intervención en  predio 107 (2,55  ha),  en el predio 503 (4 ha), en el predio 34 (0,64 ha) y en los predios 93, 94, 95, 96 y 99 (1,95 ha), para un total intervenido o conservado de 9,14 hectáreas más las anteriores intervenciones (134,61)  para un total</t>
    </r>
    <r>
      <rPr>
        <b/>
        <sz val="11"/>
        <rFont val="Arial"/>
        <family val="2"/>
      </rPr>
      <t xml:space="preserve">  143,75 ha</t>
    </r>
    <r>
      <rPr>
        <sz val="11"/>
        <rFont val="Arial"/>
        <family val="2"/>
      </rPr>
      <t xml:space="preserve">.
2. Acciones de diagnóstico y diseño: se adelantó con el equipo os profesionales del grupo de restauración el diagnóstico y diseños preliminares a un área total de 138,9 hectáreas en el área de Chisacá se identificaron en principio 4 zonas de rehabilitación, sin embargo solo tres de ellas se priorizaron, zona de rehabilitación 1 correspondiente a área de pastizales 20,2 ha , zona de rehabilitación 2 correspondiente a claros en plantaciones exóticas 17,1 ha y zona de rehabilitación 3 áreas invadidas por retamo espinoso (Ulex europaeus) 0,06 para un total de 37,36 ha.  En cuanto al área del Zuque desde el grupo de restauración se priorizaron 11 zonas para un total de 63,68 ha, Zona afectada por incendios 0,54 ha, Zona sin cobertura vegetal 3,45 ha, Zona del Chuscal 3,33 ha, zona de retamo 0,82 ha, zona de transición de cobertura vegetal 10,69 ha, bosque plantado 20,3 ha y vegetación de porte bajo 24,55ha.  Para el embalse de la regadera se identificaron y priorizaron 4 zonas para la restauración, Zona 1 es un área con parches de vegetación nativa 2,0 ha, zona 2 áreas invadidas por retamo espinoso (Ulex europaeus) 18 ha, zona 3 áreas de pastizales 5,36 ha y zona 4 plantaciones forestales de especies exóticas 12,5 ha para un total de 37,86 ha.
3. Acciones de mantenimiento en 3 zonas para un total de 33.6 ha intervenidas las cuales se distribuyeron de la siguiente manera: en Arborizadora Alta (7 ha), en el Parque Ecológico Distrital de Montaña - PEDMEN 18.9 ha (predios 90, 54, 55, 51, 52 y 53) y el tercer ciclo de mantenimiento en 7,7 ha (predios 117, 120, 121 y 175). Parque Ecológico Distrital de Montaña - PEDMEN  se realizó mantenimiento en 11,9 ha (predios 67, 35, 36, 55 y 107) .
4. Acciones de Monitoreo a procesos de restauración ecológica: se realizó el montaje de 26 parcelas nuevas para monitoreo, donde se realizó la  identificación de áreas de intervención, delimitación de parcelas, toma de datos de vegetación asociada existente, verificación de estado actual de las áreas. Toma de datos en 30 parcelas US6 de los polígonos del proyecto "Acciones de restauración, rehabilitación y recuperación ecológica en áreas invadidas por retamo espinoso en el marco del convenio 08/09 suscrito con la Universidad Nacional de Colombia" donde se realizaron acciones de Identificación de áreas de monitoreo, verificación de parcelas, toma de datos, verificación de estado actual de las áreas.
</t>
    </r>
  </si>
  <si>
    <r>
      <rPr>
        <sz val="11"/>
        <rFont val="Arial"/>
        <family val="2"/>
      </rPr>
      <t>En la Subcuenca del Río Fucha, en las localidad de Santa Fe y Candelaria se ha vinculado la comunidad de la Vereda Fátima y Universidad Distrital en el proceso de recuperación de las quebradas Padre de Jesús, Monchón del Diablo y San Bruno en función de la consolidación del “Parque del Agua”</t>
    </r>
    <r>
      <rPr>
        <b/>
        <sz val="11"/>
        <rFont val="Arial"/>
        <family val="2"/>
      </rPr>
      <t>.</t>
    </r>
  </si>
  <si>
    <r>
      <t xml:space="preserve">1. ADMINISTRACIÓN Y MANEJO AMBIENTAL DE LOS PARQUES DE HUMEDAL, PARQUES DE MONTAÑA Y OTRAS ÁREAS INTERES AMBIENTAL DEL DISTRITO 
Se continúa con las acciones de la administración y manejo ambiental en  cuatro (4) Parques Ecológico Distritales de humedal (Santa María del Lago, Salitre, Tunjo y la Isla). En los 11 PEDH restantes se contó al inicio del año con un equipo de profesionales que realizaron acciones de coordinación interinstitucional para su manejo ambiental y acciones de monitoreo. En los Parques de Montaña se administró el PEDM Entrenubes y las dos (2) áreas de interés ambiental distrital (Soratama y Parque Mirador de los Nevados); el ecosistemas subxerofítico Arborizadora Alta se coadministra con el IDRD.
En el PEDM Entrenubes se incrementó en </t>
    </r>
    <r>
      <rPr>
        <b/>
        <sz val="11"/>
        <rFont val="Arial"/>
        <family val="2"/>
      </rPr>
      <t>0,65 hectáreas</t>
    </r>
    <r>
      <rPr>
        <sz val="11"/>
        <rFont val="Arial"/>
        <family val="2"/>
      </rPr>
      <t xml:space="preserve"> administradas, por el recibo  y acondicionamiento del predio 34 ubicado en el Cerro Juan REY.
2. MANEJO SOCIOAMBIENTAL EN ZONAS DE ALTO RIESGO NO MITIGABLE
Desarrollo de acciones socioambientales en 140  hectáreas de las Localidades de Rafael Uribe Uribe (Nueva Esperanza, Granjas de San Pablo, El Socorro III, El Portal-La Paz, Los Puentes, Canal Río Seco, San Martín - La Cumbre, Playón Playita y Villas del recuerdo) y Ciudad Bolívar (Altos de la Estancia, Caracolí, Bella Flor Sector 1 y 2 y Brisas del Volador).  Las labores fueron de recuperación ambiental y paisajística, educación ambiental y mantenimiento de la cobertura vegetal; también se hizo la articulación interinstitucional para el manejo de zonas de alto riesgo no mitigable. 
3. PREVENCIÓN Y MITIGACIÓN DE INCENDIOS FORESTALES:
Las tres (3 ) acciones encaminadas a la prevención y mitigación fueron de carácter permanente, así: 
• Presidencia de la Comisión Distrital para la Prevención y Mitigación de Incendios Forestales (CDPMIF).
• Labores de mitigación: Mantenimiento de 40.9 ha controladas de retamo en anteriores oportunidades en: Parque Nacional Enrique Olaya Herrera, Parque El Virrey, La Arboleda, Padres Píos y Mindefensa; control de retamo en 27.05 ha del futuro Parque Metropolitano La Arboleda, Colegio Monseñor Bernardo Sánchez y Parque Nacional; manejo silvicultural  de 18.8 ha de plantación forestal  en Arborizadora Alta y Monseñor Bernardo Sánchez y despeje de 13.75 km  de caminos en: Parque Nacional, Cerro El Cable y vía a Ubaque. Plantación de 7135 árboles nativos en el futuro parque La Arboleda y 2872 individuos nativos en el Parque Nacional, como parte de la restauración de la zona controlada de retamo.
• Elaboración del "Plan para el control de retamo en Bogotá D.C."; aplicación de la valoración económica y ambiental para determinar los daños causados por incendios forestales de gran magnitud. Participación (como conferencista) en capacitaciones brindadas a promotores ambientales, vigías ambientales, operarios, grupos comunitarios y personal del Convenio DCC e IDIGER; Desarrollo de campaña de prevención de incendios forestales.
4. PIRE:
Los tiempos de respuesta a emergencias ambientales competencia y jurisdicción de la SDA se midieron a través de un indicador que finalizó en 95,0% (a 31/05/16).
</t>
    </r>
  </si>
  <si>
    <r>
      <rPr>
        <b/>
        <sz val="11"/>
        <rFont val="Arial"/>
        <family val="2"/>
      </rPr>
      <t xml:space="preserve">Zonas de Alto Riesgo no Mitigable: 
</t>
    </r>
    <r>
      <rPr>
        <sz val="11"/>
        <rFont val="Arial"/>
        <family val="2"/>
      </rPr>
      <t>1. Informes finales de Convenios.
2. Informe final del Contrato de Consultoría 1193 de 2013.
3.Plan de Acción Institucional de Altos de la Estancia.</t>
    </r>
    <r>
      <rPr>
        <b/>
        <sz val="11"/>
        <rFont val="Arial"/>
        <family val="2"/>
      </rPr>
      <t xml:space="preserve">
Incendios Forestales: </t>
    </r>
    <r>
      <rPr>
        <sz val="11"/>
        <rFont val="Arial"/>
        <family val="2"/>
      </rPr>
      <t xml:space="preserve">Actas de reunión de la CDPMIF, Informes anuales de gestión, Actas de reunión del Comité Técnico de los Convenios (1526/14, 1251/13 y 032/12), Informes de evaluación de daños, Plan de Control de retamo.
</t>
    </r>
    <r>
      <rPr>
        <b/>
        <sz val="11"/>
        <rFont val="Arial"/>
        <family val="2"/>
      </rPr>
      <t>PIRE:</t>
    </r>
    <r>
      <rPr>
        <sz val="11"/>
        <rFont val="Arial"/>
        <family val="2"/>
      </rPr>
      <t xml:space="preserve">
Reporte actualizado a 2016.
Formatos de respuesta a emergencias.
</t>
    </r>
    <r>
      <rPr>
        <b/>
        <sz val="9"/>
        <color theme="1"/>
        <rFont val="Arial"/>
        <family val="2"/>
      </rPr>
      <t/>
    </r>
  </si>
  <si>
    <t xml:space="preserve">Se continuó con el proceso de compra de 28 hectáres mediante el convenio 030 de 2009 con la EAB, durante este año se realizó el comité de seguimiento No 50  al Convenio el día 11 de febrero de 2016, en el cual se determinó el avance individual de cada uno de los inmuebles: 
Predio 12 -Octavio Sarmiento. Pendiente la el registro de la Resolución de Expropiación y la entrega del inmueble y se comprometen a realizar los trámites ante la oficina de registro de instrumentos públicos zona centro y ante catastro distrital para el registro de la resolución y la mutación catastral  
Predio 13 Emma Garzón. El área jurídica de la DBR de la EAB-ESP informa que a la fecha no se ha entregado el informe técnico, insumo para realizar el alcance de la oferta de compra y sigue vigente el proceso de reparación directa interpuesta por los propietarios contra la EAB-ESP.
Predios 18 y 21 - INTERCREDIT: Pendiente de la reunión de la dirección Ambiental y dirección Jurídica de la EAB-ESP y del concepto técnico de la SER-SDA, para continuar con el proceso de expropiación.
Predios 19 y 20 - INDEGA: Los propietarios presentaron recurso de reposición contra la resolución de expropiación y en respuesta se confirmó la decisión. Está pendiente el registro de la resolución de expropiación en la oficina de registro de instrumentos públicos y la entrega de los inmuebles.  
Del predio 24, propiedad de CHALLENGER,  Los funcionarios de la SDA, solicitan que se verifique el registro de la resolución de expropiación, toda vez que al verificar el certificado libertad y tradición, no se observa el desenglobe por la expropiación parcial del predio y el remanente del predio matriz. Los propietarios entablaron demanda de nulidad y restablecimiento del derecho contra la EAB-ESP 
Predios 33 y 34 Fiduciaria Colpatria – Urb. Baleares III. Informan los funcionarios de la EAB-ESP que Catastro Distrital no ha entregado los avalúos solicitados, insumos requeridos para la presentación de la oferta de compra, considerando que los predios fueron entregados parcialmente al Distrito Capital en calidad de zonas de cesión. 
</t>
  </si>
  <si>
    <t>CUMPLIDA EN EL 2015</t>
  </si>
  <si>
    <t>Informes de gestión de los contratos de CAEM (1311 de 2015) más los informes de actividades de las prestaciones de servicios de los grupos de restauración y conceptos.</t>
  </si>
  <si>
    <t>Demoras en la contratación de personal para avanzar en la gestión en humedales</t>
  </si>
  <si>
    <t>Avanzar en el proceso precontractual de los equipos de trabajo de la Subdirección de Ecosistemas y Ruralidad</t>
  </si>
  <si>
    <t>Informe de actividades finales de los siguientes contratos de prestación de servicios 1019/2015, 1234/2015, 1195/2015, 1167/2015, 1163/2015, 1291/2015, 1252/2015, 868/2015, 1431/2015</t>
  </si>
  <si>
    <t>La demora en la contratación de los profesionales que realizan las actividades afecta la ejecución de las metas del plan de desarrollo y en consecuencia no se ha podido dar continuidad al seguimiento al convenio interadministrativo  030 de 2009 SDA-EAB/ESP.
La Empresa de Acueducto  a la fecha no cuenta con profesionales para realizar el proceso de gestión predial en el marco del convenio 030 de 2009</t>
  </si>
  <si>
    <t>Dar celeridad al proceso de contratación de profesionales para continuar con el seguimiento de los convenios interadministrativos.</t>
  </si>
  <si>
    <t>Las acciones adelantadas contribuyen a la consolidación de los espacios del agua, toda vez que permiten que luego de adquirir los predios se puedan emprender acciones de recuperación y manejo del humedal</t>
  </si>
  <si>
    <t>Actas de comité de seguimiento No 50 al convenio 030 de 2009</t>
  </si>
  <si>
    <t xml:space="preserve">Se continúa con la administración o manejo en los cinco (5) Parques Ecológico Distrital de Humedal, donde se desarrollaron las siguientes acciones específicas en el primer trimestre de 2016:
(1) En el humedal Santa María del Lago tuvo acciones en las líneas de gestión administrativa: vigilancia, monitoreo y gestión interinstitucional y social. Adicionalmente, se desarrolló una Jornada comunitaria de limpieza el 10 y 24  de febrero de 2016, la cual incluyó una previa sensibilización sobre separación en la fuente y la importancia de mantener y cuidar el humedal.
(2) En el Humedal La Isla se realizó una Jornada de mantenimiento a zona de restauración ecológica (130 plantas) el 29 de enero de 2016 y 01 de febrero de 2016, con la participación de la comunidad educativa y comunidad aledaña al humedal. De igual manera, se realizaron jornadas de ornato y recuperación de puntos críticos (recolección de residuos sólidos y escombros dispersos en áreas cercanas al humedal) el 2 y 4 de febrero de 2016. 
(3) En el humedal Tunjo se desarrolló gestión interinstucional para el manejo de residuos sólidos ordinarios y de construcción y demolición. Se cuenta con un protocolo de atención prioritaria para atención de incendios generado desde el humedal Tunjo y para ajustar a todos los humedales del Distrito.
(4) En el humedal El Salitre se desarrollaron actividades de sensibilización ambiental conjuntamente con la Policía Ambiental, Comunidad, Asociaciones y Fundaciones y Alcaldía de Barrios Unidos, los días 05, 10, 12, 23 y 27  de febrero de 2016.    
(5 y 6) En los demás humedales Vaca, Techo, Burro, Conejera, Juan Amarillo, Jaboque, Torca-Guaymaral se adelantaron acciones de articulación interinstitucional, partiendo de la elaboración de un Plan de Acción Ambiental y del Plan Operativo Anual y la participación en las mesas interinstitucionales. En la línea de monitoreo se realizaron las tomas de datos respectivas para este periodo para establecer índices riqueza y abundancia de especies y  familias más diversas. Adicionalmente, se recopiló desde cada humedal la información necesaria para probar el Índice de calidad de los humedales evidenciado la necesidad de realizar ajustes al Índice formulado debido a que parte de la información no es fácil recopilación. 
</t>
  </si>
  <si>
    <t>Se cuenta con un esquema coordinado de administración de los Parques Ecológicos de Humedal, donde la Jardín Botánico de Bogotá realiza acciones de mantenimiento de la franja terrestre y acuática, el IDGER desarrolla acciones de recuperación ecológica y la SDA cuenta con profesionales permanentes en las áreas para realizar acciones de coordinación y monitoreo.</t>
  </si>
  <si>
    <t>Informe de actividades finales de los grupos de humedales.</t>
  </si>
  <si>
    <t>Cumplida en el 2015</t>
  </si>
  <si>
    <t>D</t>
  </si>
  <si>
    <t>Se realizó el segundo ciclo de mantenimiento en las 7,2 hectáreas intervenidas en el rio Tunjuelo en los sectores de Boita 1 (2 ha), Jacqueline (1,5 ha ) y Villa del río (3,7 ha)</t>
  </si>
  <si>
    <t>Afectación en la vegetación por daños antrópicos</t>
  </si>
  <si>
    <t>Verificación en campo y resiembra de material</t>
  </si>
  <si>
    <t>Informe del contrato de Ecoflora</t>
  </si>
  <si>
    <t>Informe de actividades de los técnicos y viveristas del grupo de restauración ecológica.</t>
  </si>
  <si>
    <t>Durante el primer semestre de 2016 se firmo el acta de inicio del contrato de consultoría No 1425 de 2015, el día 14 de enero de 2016, suscrito con el Consorcio Parque ecológico cuyo objeto es “Realizar el levantamiento topográfico, estudios de títulos y diagnóstico socioeconómico de los predios que se encuentran en el sector “La Cuchilla El Gavilán” del Parque Ecológico Distrital de Montaña Entrenubes para adelantar los procesos de gestión de suelo y adquisición de predios por motivos de utilidad pública e interés general”, luego de adjudicar el 22 de diciembre de 2015 el concurso de méritos SDA-CM-071-2015. 
Desde la DGA se ha realizado el seguimiento técnico, jurídico y financiero del convenio mediante la ejecución de ocho (8) comités técnicos, realizados los días 14 de enero, 28 de enero, 25 de febrero, 15 de marzo,   29 de marzo, 28 de abril, 19 de mayo y 16 de junio de 2016 respectivamente.
A la fecha se puede reportar el avance del contrato 1425 de 2015 con la ejecución de levantamientos topográficos, estudios de títulos y gestión social de cuarenta y ocho (48) predios identificados con los RT 8 (18.105,00 m2), RT 22 (16.518,63m2), RT 39 (7.594,59 m2), RT 54 (24.742,67 m2), RT 55(7.273,40 m2) y RT 59 (506,29m2), para un total de 74.740,58 m2 (7Has 4710.58 m2), los cuales han sido debidamente entregados y aprobados por la DGA en el sector de los Soches. De otra parte se ejecutaron labores de estudios topográficos, jurídicos y sociales de 21 predios en el sector del porvernir en una área de 1,008783 Has en los inmuebles identificados con  RT 4, RT 5, RT 6, RT 12, RT 13, RT 14, RT 16, RT 20, RT 21, RT 36, RT 37, RT 38, RT 48, RT 50, RT 52, RT 53, RT 61, RT 62, RT 63, RT 64, RT 88 los cuales fueron debidamente aprobados. En la tercera entrega se aprobaron los levantamientos topograficos, estudios de titulos y gestion social de 74,45 Hectáreas que comprenden veintiun (21) predios localizados a lo largo de la Cuchilla el Gavilan, proximos a los sectores de Compostela y Tocaimita y que se identifican con los RT 10, RT 17, RT 23, RT 24, RT 26, RT 27, RT 31,RT 32, RT 34, RT 42, RT 49, RT 65, RT 70, RT 71, RT 72, RT 73, RT 74, RT 76, RT 78, RT 79 y RT 84 
De otra parte,  se continúa con la ejecución del convenio interadministrativo 983 de 2013 SDA-IDRD, para lo cual se realizaron actividades propias del proceso de adquisición predial, como oferta de compra, proyección y tramite de las promesas de compraventa y escrituración de los predios ubicados en el Cerro de Juan Rey identificados con los RT 29, RT 34,  RT 48, RT 81, RT 178, RT 80, RT 105, RT 148, RT 176, RT 129. Adicionalmente se han realizado los comités No 14, No 15 y No 16 de seguimiento técnico y financiero al convenio realizados el 6 de febrero, 5 de abril y 12 de mayo de 2016 respectivamente.
En cuanto al avance del contrato 1483 de 2014 con la Empresa Inmobiliaria Cundinamarquesa (EIC), para la elaboración de los avalúos comerciales de los inmuebles ubicados en áreas protegidas del orden distrital objeto de compra, se suscribio prórroga por término de seis(6) con el fin de contar con los estudios técnicos y jurídicos de predios a avaluar.</t>
  </si>
  <si>
    <t xml:space="preserve">1. La demora en la contratación de los profesionales que realizan las actividades afecta la ejecución de las metas del plan de desarrollo y en consecuencia no se ha podido dar continuidad a los procesos vigentes de adquisición predial.
2.  falta coordinación con la Dirección Legal Ambiental para la revisión y aprobación de los documentos propios de la gestión predial (Ofertas, minutas, escrituras etc) acciones previas para la respectiva firma del Secretario del Despacho, conforme al procedimiento 126-PM03-PR03.
</t>
  </si>
  <si>
    <t>Acelerar la contratación del personal para ejecutar el proceso de adquisición predial en áreas protegidas y la supervisión de los convenios y contratos vigentes.
Coordinar con la DLA los trámites y actividades transversales para dar celeridad al proceso de compra de predios.</t>
  </si>
  <si>
    <t>Ampliar la oferta ambiental del  Distrito Capital y consolidar la gobernanza del Parque Ecológico Distrital de Montaña Entrenubes, el cual hace parte de la Estructura Ecológica Principal del Distrito Capital, con el fin de adelantar acciones de restauración y rehabitación ambiental .</t>
  </si>
  <si>
    <t>Acta de inicio contrato 1425 de 2015
Actas de Comité del Convenio 958 de 2013 SDA-IDRD y Contrato 1425 de 2015.
Expedientes de los RT 8, RT 22, RT 39, RT 54, RT 55, RT 59 (1a Entrega Sector los Soches) RT 4, RT 5, RT 6, RT 12, RT 13, RT 14, RT 16, RT 20, RT 21, RT 36, RT 37, RT 38, RT 48, RT 50, RT 52, RT 53, RT 61, RT 62, RT 63, RT 64, RT 88 (2a Entrega sector el Porvenir) RT 10, RT 17, RT 23, RT 24, RT 26, RT 27, RT 31,RT 32, RT 34, RT 42, RT 49, RT 65, RT 70, RT 71, RT 72, RT 73, RT 74, RT 76, RT 78, RT 79, RT 84 (3a Entrega) de la Cuchilla El Gavilan .
Predios adquiridos y recibidos en marco del convenio 958 de 2013 SDA-IDRD</t>
  </si>
  <si>
    <t>Demoras en las adquisición predial para desarrollar procesos de intervención de restauración y conservación en el suelo de protección</t>
  </si>
  <si>
    <t>Se inicio un proceso de identificación, diagnótico y diseños  en microcuencas tributarias de los ríos Fucha y Tunjuelo, con potencial de restauración ecológica y con factibilidad de intervención por parte del D.C.</t>
  </si>
  <si>
    <t>Informes de gestión del contrato 1451 de 2015 con Ecoflora, convenio 1311 de 2015 suscrito con CAEM y los informes de actividades de los grupos de restauración en la Subdirección de Ecosistemas y Ruralidad</t>
  </si>
  <si>
    <t xml:space="preserve">Durante este periodo se continuó con la administración directa en el Parque Ecológico Distrital de Montaña Entrenubes (269 ha), Parque Mirador de los Nevados (6 ha),  Parque Soratama (6 ha) y  30 ha en Arborizadora Alta (Cerro Seco),  bajo las líneas de acción de vigilancia,  monitoreo y gestión interinstitucional. 
Adicionalmente,  se continuó con la gestión para iniciar acciones de administración y manejo  predio denominado Serranía El Zuque, solicitando a la  Dirección Legal Ambiental, un concepto sobre la viabilidad jurídica para recibir este predio, el cual está ubicado en la localidad de San Cristóbal, en la zona de Reserva Forestal Protectora Bosque Oriental de Bogotá, bajo la custodia del DADEP.
 Con relación a las acciones de mejora en las áreas administradas se logró la construcción de nuevas redes hidráulicas de suministros de agua potable, redes de riego, redes de recolección de aguas sanitarias y pluviales y obras complementarias del Parque Mirador de los Nevados, mediante la ejecución del contrato 1528 de 2014; así mismo se cuenta con al diseño arquitectónico de las Aulas Ambientales en el Mirador de Juan Rey del Parque Entrenubes y del Aula Ambiental Soratama y el diseño de senderos peatonales, carreteables e interpretativos en el Parque Entrenubes, realizado en el marco del contrato de consultoría No. 1513 de 2013.
</t>
  </si>
  <si>
    <t>No se ha desarrollado la línea de acción de mantenimiento en las áreas administradas debido a las dificultades contractuales que se presentaron para la suscripción de un nuevo convenio de asociación y solicitudes de cambio en la figura de contratación de estas actividades.</t>
  </si>
  <si>
    <t>Se está adelantando una evaluación de las actividades a desarrollar para dar cumplimiento a la línea de mantenimiento con el fin de definir si puede realizarse por convenio interadministrativo con el IDIPRON o por licitación pública.</t>
  </si>
  <si>
    <t>La administración directa permite el control institucional de espacios verdes ofertados para la ciudad, así como el desarrollo de acciones de recuperación, restauración y conservación de las siguientes áreas: Parque Ecológico Distrital de Montaña Entrenubes, Soratama, Parque Mirador de los Nevados y área de interés ambiental Arborizadora Alta,</t>
  </si>
  <si>
    <t>Contrato de obra pública No. 1528 de 2014.
Contrato de consultoría No. 1529 de 2014.
Contrato de consultoría No. 1513 de 2013.</t>
  </si>
  <si>
    <t>Se hizo la socialización de las dos acciones de ordenamiento ambiental  gestionadas en el borde norte de la ciudad (Plan de Manejo Ambiental de Toca y  Plan de Manejo de la Reserva Forestal Protectora Tomas van der Hammen ),  suministrando información técnica y participación en los diferentes espacios para la armonización con la nueva administración distrital.</t>
  </si>
  <si>
    <t>1. Informes mensuales y finales de los Convenios 733/12, 956/13, 1374/14, 1344/15 y 1346/15.
2. Informe final del Contrato de Consultoría 1193 de 2013.
3.Plan de Acción Institucional de Altos de la Estancia</t>
  </si>
  <si>
    <t>*Actas de reunión de la CDPMIF.
*Informes anuales de gestión.
*Actas de reunión del Comité Técnico de los convenios desarrollados (1526/14, 1251/13 y 032/12).
* Informes de evaluación de daños ocasionados por incendios forestales.
* Plan de Control de Retamo.</t>
  </si>
  <si>
    <t>Los tiempos de respuesta a emergencias ambientales competencia y jurisdicción de la SDA se midieron a través de un indicador que finalizó al cierre del PDD (31 de mayo de 2016) en 95,0%, dando cumplimiento a la meta planteada. 
Para el periodo del 1 de julio de 2012 al 31 de mayo de 2016, se atendieron un total de 3.469 emergencias, correspondientes a: 3.256 por árboles en riesgo o caídos, 192 incidentes con materiales peligrosos y 21 apoyos a incidentes forestales. 
Del total de emergencias a las que respondió la SDA en el cuatrienio, 3.238 se atendieron oportunamente (en un tiempo máximo de 16 horas) y solo 231 salieron del rango, sin que el tiempo de respuesta excediera las 24 horas.</t>
  </si>
  <si>
    <t xml:space="preserve">*Reporte actualizado 2016.
*Formatos de respuesta a emergencias. </t>
  </si>
  <si>
    <t>Informe de activdades de los Contratos de prestación de servicios No. 1396/2015, 254/2016 y 216 de 2016.</t>
  </si>
  <si>
    <t>Se cargó información en el portal SIAC, en el link de comunidades, relacionada con planificación y revisión de informes de PIGA suministrada por la SPPA. También se viene adelantando parte de la consolidación de informes (seguimiento y control) entregados por SCASP para ser cargados en la misma herramienta (vigencia 2015).
Se cargó en el portal SIAC, la información  de piezas comunicativas acerca de movilidad sostenible para que ésta informacion sea utilizada por las entidades Distritales.</t>
  </si>
  <si>
    <t>informe de actividades del contrato 766 de 2015</t>
  </si>
  <si>
    <t xml:space="preserve">Se realizó evento de cierre al proceso de planeación, implementación, evaluación y seguimiento al PIGA de las Entidades Distritales. Asistieron 105 personas de 66 entidades. Se socializaron los  resultados de la Gestión Desarrollada con las entidades. Avances: De las 94 entidades visitadas por SCASP, 49 obtuvieron una calificación alta (81-100%) comparadas con el año 2012 donde solo 17 obtuvieron dicha calificación.
Se vienen realizando gestiones desde la DGA con otras dependencias; para consolidar información relacionada con el estado de avance las politicas y planes ambientales, en las cuales la SDA tiene participación.
Se proyectó el plan de acción para el acompañamiento del instrumento PIGA, se cooordinaron acciones con diferentes dependencias encargadas del tema. Se llevo acabo un evento con las Entidades Distritales, con la finalidad de dar conocer dicho plan de trabajo. (Participación: 103 personas de 81 entidades).
De otra parte, se viene desarrollando con las entidades, una estrategia para implementar la red de Movilidad Sostenible, propuesta desde la Secretaría de Movilidad.
</t>
  </si>
  <si>
    <t xml:space="preserve">La DGA ha venido adelantando acciones de capacitación y acompañamiento a las entidades del Distrito en el 100 % de los instrumentos de gestión ambiental, así como el desarrollo de actividades necesarias para priorizar la implementación de los isiguientes nstrumentos:
a) Plan Institucional de Gestión Ambiental – PIGA
b) Plan de Acción Cuatrienal Ambiental – PACA
c) Departamentos de Gestión Ambiental – DGA
d) Certificado del Estado de Conservación - CECA
e) Plan Decenal de Descontaminación del Aire de Bogotá - PDDAB
f) Cambio Climático
g) Plan de Arbolado y Silvicultura Urbana 
h) Apagones Ambientales – Cultura Ciudadana
</t>
  </si>
  <si>
    <t>Informe de actividades de los contratos 42/2016, 423/2016, 83/2016 y 426/2016</t>
  </si>
  <si>
    <t>De enero a diciembre de 2016, se inicio la implementación de acciones de acuerdo con los lineamientos ambientales determinados en el modelo de ocupación en la Franja, con la  implementación de herramientas del Paisaje, en 100 predios de zona de borde los cuales fueron priorizados por el IAVH, de estos 35  predios,  ubicados en la las veredas Requilina (10 predios), Uval (10 predios) en  localidad de Usme y en la localidad de Ciudad Bolívar en mochuelo Alto (11 predios) y en Quiba Bajo (4 predios). En el desarrollo de estas actividades se hizo seguimiento y supervisión de los trabajos realizados, mediante el desarrollo de recorridos donde se verificó  con los propietarios de los predios los trabajos realizados a satisfacción teniendo en cuenta los lineamientos de la SDA</t>
  </si>
  <si>
    <t>Informe de actividades del contrato de prestación de servicios No. 886/2015</t>
  </si>
  <si>
    <t>CUMPLIDA POR EAB</t>
  </si>
  <si>
    <r>
      <t xml:space="preserve">Durante el primer trimestre de 2016  se realizó una intervención total de 2.23 km (7,4 ha) con procesos de recuperación ecológica en la zonas de ronda y ZMPA de las siguientes quebradas: 0,15 km nuevos en la quebrada Santa Bibiana para un total de 0,5 km, en la quebrada la floresta se intervinieron 0,43km  (0,6 ha) nuevas, en la quebrada Verejones se realizó una intervención de 0,8 ha nuevas para un total de 3 ha intervenidas, y finalmente en la quebrada Madremonte se intervino 1,65 km equivalente a 6 ha, estas hectáreas ya contaban con proceso de planificación y diseño. Dentro de la gestión, se adelantaron los diagnósticos y diseños en </t>
    </r>
    <r>
      <rPr>
        <b/>
        <sz val="10"/>
        <rFont val="Calibri"/>
        <family val="2"/>
        <scheme val="minor"/>
      </rPr>
      <t>4 hectárea</t>
    </r>
    <r>
      <rPr>
        <sz val="10"/>
        <rFont val="Calibri"/>
        <family val="2"/>
        <scheme val="minor"/>
      </rPr>
      <t>s en la Quebrada La Nutria. La gestión finaliza en</t>
    </r>
    <r>
      <rPr>
        <b/>
        <sz val="10"/>
        <rFont val="Calibri"/>
        <family val="2"/>
        <scheme val="minor"/>
      </rPr>
      <t xml:space="preserve">  236.46 hectáreas.</t>
    </r>
  </si>
  <si>
    <r>
      <t xml:space="preserve">De enero a mayo 2016, se realizó la evaluación de los documentos para el otorgamiento del Permiso de Ocupación de Cauce para la intervención física que realizará la CAR en el sector nor-occidental del PEDH Juan Amarillo (3 ha) y se realizó seguimiento al estado de los vertederos de los PEDH Tibanica y Córdoba, el biofiltro de La Vaca, y la estructura disipadora de energía del Burro, equivalente a una 1 hectárea. 
Adicionalmente, se hizo el acompañamiento técnico a los procesos de formulación de los PEDH El Salitre, Tunjo y La Isla, mediante el aporte de información técnica, verificación en campo y lineamientos para la construcción de la línea base. 
De esta manera se consolida durante este cuatrienio la gestión en </t>
    </r>
    <r>
      <rPr>
        <b/>
        <sz val="10"/>
        <rFont val="Calibri"/>
        <family val="2"/>
        <scheme val="minor"/>
      </rPr>
      <t>331,06 ha</t>
    </r>
    <r>
      <rPr>
        <sz val="10"/>
        <rFont val="Calibri"/>
        <family val="2"/>
        <scheme val="minor"/>
      </rPr>
      <t xml:space="preserve"> en los humedales para su recuperación, rehabilitación y/o restauración de la siguiente manera:
1.  En procesos de  Restauración Ecológica en Zonas de Ronda y ZMPA en humedales 4, 31 hectáreas en el Parque Ecológico Distrital Juan Amarilla (4 ha) y en el Parque Ecológico Distrital La Conejera en el Sector de Fontanar (0.31 ha). Esa gestión se realizó con el acompañamiento  de la comunidad en los procesos de  siembras el 5 de junio de 2014  y 23 de diciembre con la plantación de 500 individuos aprox. y el cerramiento de 3,2  km con el grupo de vigías del agua  con el convenio 999 de 2013 se completó la plantación a 3.108 árboles en el Parque Juan Amarillo. Las demás hectáreas  que responden al indicador “Número de hectáreas de humedales recuperadas” están bajo la responsabilidad de la EAB. Adicionalmente, en la vigencia 2013  se ajustaron los diseños para la restauración ecológica de 2 ha en el humedal Tibanica. Para un total de gestión en 6,31 ha.
2. Lineamientos y pronunciamientos técnicos. Se hizo la evaluación y seguimiento a los procesos de intervención físico-biótica desarrollados en PEDH, para lo cual se ha gestionado entre otros lo siguiente: i) revisión de los documentos técnicos remitidos por la consultoría que se encuentra ejecutando las obras de reconformación hidrogeomorfologica de la franja acuática y semiacuática del PEDH El Burro (3,5 ha)  y el seguimiento a la reutilización y disposición de material producto de la excavación de vaso de agua del tercio medio del PEDH El Burro (1ha), ii) elaboración de los informe técnico sobre los diseños presentados por la Alcaldía Local de Suba para la implementación del sistema de biotratamiento en el brazo del PEDH Juan Amarillo (5,5 ha) y  iii)  acompañamientos con visitas técnicas por parte de la SER para la propuesta de reconformación hidrogeomorfológica y rehabilitación de hábitats acuáticos en PEDH Jaboque (6 ha), iv) apoyo al seguimiento y evaluación de la obra de reconformación hidrogeomorfológica y restauración ecológica del PEDH Tibanica y las ejecución de la primera fase de las obras de adecuación hidráulica y ambiental priorizadas (6 ha), particularmente lo relacionado con la falla de la estructura de salida de agua, para lo cual se realizaron los aforos respectivos contrastados con la evaluación técnica realizada por la EAB. Así mismo, se viene analizando la viabilidad de las alternativas de suministro hídrico al humedal para suplir su déficit, v) se elaboró el documento técnico de evaluación de impacto del asentamiento Lagos de Castilla sobre el PEDH de Techo y sus recursos (4 ha), vi) evaluación de los documentos para el otorgamiento del Permiso de Ocupación de Cauce para la intervención física que realizará la CAR en el sector noroccidental del PEDH Juan Amarillo (3 hectáreas) y vii)seguimiento al estado de los vertederos de los PEDH Tibanica y Córdoba, el biofiltro de La Vaca, y la estructura disipadora de energía del Burro, para un total de 1 hectárea Para un total de 30 hectáreas gestionadas.
3. Declaración de nuevas áreas de humedales: Se brindó el apoyo técnico para la declaratoria de 40,93 hectáreas nuevas como Parques Ecológica Distrital de Humedal mediante  el Acuerdo 577 del 26 de diciembre de 2014  en los humedales El Tunjo (33.23 ha) y La Isla (7,7 ha) en la Subcuenca Tunjuelo. 
4. Aprobación de los PMA: Se  brindó los insumos técnicos y el aval técnico para la aprobación de los PMA de los PEDH Jaboque, Torca y Guaymaral, Meandro del Say,  mediante Resoluciones Conjuntas CAR-SDA 01, 02 y 03 respectivamente, y Resolución SDA 096 para el caso del PEDH La Conejera.  
5. Medidas de Protección: Se adelantó el soporte técnico para la expedición de tres medidas de protección de zonas aledañas a los siguientes humedales: Áreas aledañas a Jaboque 100,13 ha (Resolución de la SDA 1097 de 2015), Áreas aledañas a Torca-Guaymaral 131 ha (Resolución de la SDA  819 DE 15) y Áreas del humedal Burrito, Resolución de la SDA 1238 de 201212 para 4,44 ha.  Para un total de 235,57 ha.
6. Identificación de nuevas áreas de humedales: se adelantó la verificación de nuevas zonas  con características de humedal  en el área rural del Distrito Capital en 18.25 ha.
</t>
    </r>
  </si>
  <si>
    <r>
      <t xml:space="preserve">Durante el periodo de enero a mayo de 2016, , se enfocaron las acciones en dos componentes para el fortalecimiento de los viveros: uno referido en la continuidad de la producción de material vegetal y un segundo en el mantenimiento, mejoramiento o renovación de infraestructura. 
</t>
    </r>
    <r>
      <rPr>
        <b/>
        <sz val="10"/>
        <rFont val="Calibri"/>
        <family val="2"/>
        <scheme val="minor"/>
      </rPr>
      <t xml:space="preserve">(1) Vivero Soratama </t>
    </r>
    <r>
      <rPr>
        <sz val="10"/>
        <rFont val="Calibri"/>
        <family val="2"/>
        <scheme val="minor"/>
      </rPr>
      <t xml:space="preserve">
En el primer componente para producción nueva de material vegetal, se desarrollaron actividades de recolección de semillas de especies vegetales de bosque alto andino, tales como laurel de cera hojigrande y hojipequeño, duraznillo, tagua, blanquillo y gurrubo; asimismo, se completó la producción de 14.027 individuos y  se ofreció para plantación 7.534 individuos. Frente al mantenimiento del material producido, se realizaron las actividades de cuidado las plantas, como deshierbe en bolsa y de suelo, preparación de sustratos, poda fitosanitarias, preparación y siembra en semilleros, riegos y fertirriegos y aplicaciones fitosanitarias, entre otras.
En el segundo componente, se hizo un cambio total de la infraestructura del área de propagación, así como la adecuación de las eras de crecimiento, y embolse. Además, se implementó un sistema de cosecha de aguas que permite el suministro para las labores de producción.
</t>
    </r>
    <r>
      <rPr>
        <b/>
        <sz val="10"/>
        <rFont val="Calibri"/>
        <family val="2"/>
        <scheme val="minor"/>
      </rPr>
      <t xml:space="preserve">(2) Vivero Entrenubes </t>
    </r>
    <r>
      <rPr>
        <sz val="10"/>
        <rFont val="Calibri"/>
        <family val="2"/>
        <scheme val="minor"/>
      </rPr>
      <t xml:space="preserve">
En el primer componente, se completó la producción de 26.000 individuos vegetales en desarrollo y mantenimiento general al material vegetal acopiado y la recolección de semillas de arboloco, laurel de cera hojipequeño, propagación de romerillo, tagua,  cerezo, gurrubo, entre otras; también se realizó el transplante de material vegetal de semillero a bolsa de garrocho, espino garbanzo, tomatillo, hayuelo y aliso.
En el segundo componente, se adelantaron acciones encaminadas a la recuperación de las terrazas de crecimiento de material vegetal, se acondicionaron polisombras en las eras de crecimiento. Para la propagación se mejoraron los germinadores y se cambió la cobertura de los mismos, y por último, se mejoró la vía carreteable que conduce al vivero con aplicación de recebo.
Y  en funcionamiento dos (2) viveros temporales en:
</t>
    </r>
    <r>
      <rPr>
        <b/>
        <sz val="10"/>
        <rFont val="Calibri"/>
        <family val="2"/>
        <scheme val="minor"/>
      </rPr>
      <t>(3) Vivero BITER</t>
    </r>
    <r>
      <rPr>
        <sz val="10"/>
        <rFont val="Calibri"/>
        <family val="2"/>
        <scheme val="minor"/>
      </rPr>
      <t xml:space="preserve">
Se realizó la propagación de material vegetal (5000 individuos) y mantenimiento de 16.048 individuos, plantación de 500 individuos en la parte alta del polígono, recolección de semilla de dos especies de lupino.
</t>
    </r>
    <r>
      <rPr>
        <b/>
        <sz val="10"/>
        <rFont val="Calibri"/>
        <family val="2"/>
        <scheme val="minor"/>
      </rPr>
      <t xml:space="preserve">(4) Vivero Humedal La Vaca </t>
    </r>
    <r>
      <rPr>
        <sz val="10"/>
        <rFont val="Calibri"/>
        <family val="2"/>
        <scheme val="minor"/>
      </rPr>
      <t xml:space="preserve">
Mantenimiento general al material vegetal (10000 individuos)
Se proyecta constituir otro vivero Humedal Tibanica, donde se adelantó el diseño y adecuación del área e instalación de la infraestructura del invernadero. Hace falta la adecuación e instalación de germinadores.
</t>
    </r>
  </si>
  <si>
    <r>
      <t xml:space="preserve">Durante el periodo de enero a mayo de 2016, se adelantó la siguiente gestión de restauración ecológica en el suelo de protección:
1. Acciones de intervención en áreas nuevas: en el Parque Ecológico Distrital de Montaña Entrenubes – PEDMEN, se realizó la intervención en  predio 107 (2,55  ha),  en el predio 503 (4 ha), en el predio 34 (0,64 ha) y en los predios 93, 94, 95, 96 y 99 (1,95 ha), para un total intervenido o conservado de </t>
    </r>
    <r>
      <rPr>
        <b/>
        <sz val="10"/>
        <rFont val="Calibri"/>
        <family val="2"/>
        <scheme val="minor"/>
      </rPr>
      <t>9,14 hectáreas</t>
    </r>
    <r>
      <rPr>
        <sz val="10"/>
        <rFont val="Calibri"/>
        <family val="2"/>
        <scheme val="minor"/>
      </rPr>
      <t xml:space="preserve"> más las anteriores intervenciones</t>
    </r>
    <r>
      <rPr>
        <b/>
        <sz val="10"/>
        <rFont val="Calibri"/>
        <family val="2"/>
        <scheme val="minor"/>
      </rPr>
      <t xml:space="preserve"> (134,61)  p</t>
    </r>
    <r>
      <rPr>
        <sz val="10"/>
        <rFont val="Calibri"/>
        <family val="2"/>
        <scheme val="minor"/>
      </rPr>
      <t>ara un total  143,75 ha.
2. Acciones de diagnóstico y diseño: se adelantó con el equipo os profesionales del grupo de restauración el diagnóstico y diseños preliminares a un área total de</t>
    </r>
    <r>
      <rPr>
        <b/>
        <sz val="10"/>
        <rFont val="Calibri"/>
        <family val="2"/>
        <scheme val="minor"/>
      </rPr>
      <t xml:space="preserve"> 138,9 hectáreas</t>
    </r>
    <r>
      <rPr>
        <sz val="10"/>
        <rFont val="Calibri"/>
        <family val="2"/>
        <scheme val="minor"/>
      </rPr>
      <t xml:space="preserve"> en el área de Chisacá se identificaron en principio 4 zonas de rehabilitación, sin embargo solo tres de ellas se priorizaron, zona de rehabilitación 1 correspondiente a área de pastizales 20,2 ha , zona de rehabilitación 2 correspondiente a claros en plantaciones exóticas 17,1 ha y zona de rehabilitación 3 áreas invadidas por retamo espinoso (Ulex europaeus) 0,06 para un total de 37,36 ha.  En cuanto al área del Zuque desde el grupo de restauración se priorizaron 11 zonas para un total de 63,68 ha, Zona afectada por incendios 0,54 ha, Zona sin cobertura vegetal 3,45 ha, Zona del Chuscal 3,33 ha, zona de retamo 0,82 ha, zona de transición de cobertura vegetal 10,69 ha, bosque plantado 20,3 ha y vegetación de porte bajo 24,55ha.  Para el embalse de la regadera se identificaron y priorizaron 4 zonas para la restauración, Zona 1 es un área con parches de vegetación nativa 2,0 ha, zona 2 áreas invadidas por retamo espinoso (Ulex europaeus) 18 ha, zona 3 áreas de pastizales 5,36 ha y zona 4 plantaciones forestales de especies exóticas 12,5 ha para un total de 37,86 ha.
3. Acciones de mantenimiento en 3 zonas para un total de 33.6 ha intervenidas las cuales se distribuyeron de la siguiente manera: en Arborizadora Alta (7 ha), en el Parque Ecológico Distrital de Montaña - PEDMEN 18.9 ha (predios 90, 54, 55, 51, 52 y 53) y el tercer ciclo de mantenimiento en 7,7 ha (predios 117, 120, 121 y 175). Parque Ecológico Distrital de Montaña - PEDMEN  se realizó mantenimiento en 11,9 ha (predios 67, 35, 36, 55 y 107) .
4. Acciones de Monitoreo a procesos de restauración ecológica: se realizó el montaje de 26 parcelas nuevas para monitoreo, donde se realizó la  identificación de áreas de intervención, delimitación de parcelas, toma de datos de vegetación asociada existente, verificación de estado actual de las áreas. Toma de datos en 30 parcelas US6 de los polígonos del proyecto "Acciones de restauración, rehabilitación y recuperación ecológica en áreas invadidas por retamo espinoso en el marco del convenio 08/09 suscrito con la Universidad Nacional de Colombia" donde se realizaron acciones de Identificación de áreas de monitoreo, verificación de parcelas, toma de datos, verificación de estado actual de las áreas.
</t>
    </r>
  </si>
  <si>
    <r>
      <t xml:space="preserve">En lo corrido del Plan de desarrollo se intervinieron 140  ha de zonas de alto riesgo no mitigable con acciones socioambientales en las Localidades de Ciudad Bolívar y Rafael Uribe Uribe. En los 2 últimos meses se intervinieron 5 ha. Esto se hizo principalmente desde los Convenios 956/13, 1374/14, 1346/15, 1344/15 y el Contrato 1193/13, así:
</t>
    </r>
    <r>
      <rPr>
        <b/>
        <u/>
        <sz val="10"/>
        <rFont val="Calibri"/>
        <family val="2"/>
        <scheme val="minor"/>
      </rPr>
      <t>1. Ciudad Bolívar:</t>
    </r>
    <r>
      <rPr>
        <sz val="10"/>
        <rFont val="Calibri"/>
        <family val="2"/>
        <scheme val="minor"/>
      </rPr>
      <t xml:space="preserve">
</t>
    </r>
    <r>
      <rPr>
        <b/>
        <sz val="10"/>
        <rFont val="Calibri"/>
        <family val="2"/>
        <scheme val="minor"/>
      </rPr>
      <t xml:space="preserve">* Altos de La Estancia: </t>
    </r>
    <r>
      <rPr>
        <sz val="10"/>
        <rFont val="Calibri"/>
        <family val="2"/>
        <scheme val="minor"/>
      </rPr>
      <t xml:space="preserve">Acciones sobre 73.8 ha. Actualización del PMA. Jornadas de sensibilización social (22) y de sensibilización a estudiantes de colegios (40). Limpieza de canales (14.623 m); recolección de desechos sólidos (314.332 kg) y de escombros (15.45 t). Plateo y fertilización (4.197 individuos vegetales). Restauración ecológica (2,76 ha) en las rondas de las 3 quebradas, mediante la implementación de 79 módulos de restauración (1.250 árboles sembrados). Establecimiento de 690 m de cerca viva (plantación de 870 árboles). Recorridos de campo (557) para la vigilancia y alerta oportuna sobre posibles ocupaciones ilegales. Jornadas de apoyo al mantenimiento de huertas comunitarias (106); georreferenciación, levantamiento arquitectónico y elaboración de planes de mejoramiento de 16 huertas; acciones de adecuación y mejoramiento en 6 huertas; adecuación de 6 puntos de acopio para residuos orgánicos. Talleres de sensibilización (25) en el manejo de residuos sólidos, reciclatones (5), jornadas de sensibilización (22) en manejo de residuos (puerta a puerta). Talleres de biodanza, artes plásticas y música (24 cada uno) con énfasis ambiental; atardeceres Cuenteros (5); un Festival Ambiental; comparsas ambientales (2) y talleres de capacitación en gestión ambiental para líderes (8).
</t>
    </r>
    <r>
      <rPr>
        <b/>
        <sz val="10"/>
        <rFont val="Calibri"/>
        <family val="2"/>
        <scheme val="minor"/>
      </rPr>
      <t>* Caracolí:</t>
    </r>
    <r>
      <rPr>
        <sz val="10"/>
        <rFont val="Calibri"/>
        <family val="2"/>
        <scheme val="minor"/>
      </rPr>
      <t xml:space="preserve"> Actividades en 5 ha. Recorridos para la alerta temprana de posibles ocupaciones ilegales (36) y recolección de residuos.
</t>
    </r>
    <r>
      <rPr>
        <b/>
        <sz val="10"/>
        <rFont val="Calibri"/>
        <family val="2"/>
        <scheme val="minor"/>
      </rPr>
      <t>* Bella Flor:</t>
    </r>
    <r>
      <rPr>
        <sz val="10"/>
        <rFont val="Calibri"/>
        <family val="2"/>
        <scheme val="minor"/>
      </rPr>
      <t xml:space="preserve"> Actividades en 3.28 ha. Restauración ecológica de la ronda de la quebrada Limas (0,25 ha), con la implementación de 8 módulos de restauración (150 árboles sembrados); delimitación de 1,25 ha con cerca viva (400 m.) en áreas en proceso de restauración (198 árboles sembrados) y realización de 1 jornada comunitaria para la plantación de árboles. Plateo de 660  árboles, tutorado de 554 y replante de 300; recolección de residuos sólidos (100 kg) y recorridos de vigilancia a la ocupación ilegal (93). Mantenimiento de cobertura vegetal y limpieza en Bella Flor sector 2. 
* </t>
    </r>
    <r>
      <rPr>
        <b/>
        <sz val="10"/>
        <rFont val="Calibri"/>
        <family val="2"/>
        <scheme val="minor"/>
      </rPr>
      <t>Brisas del Volador</t>
    </r>
    <r>
      <rPr>
        <sz val="10"/>
        <rFont val="Calibri"/>
        <family val="2"/>
        <scheme val="minor"/>
      </rPr>
      <t xml:space="preserve">: Actividades en 0.22 ha. Un taller de manejo de residuos con la comunidad del sector y  un reciclatón; mantenimiento cobertura vegetal y limpieza. 
</t>
    </r>
    <r>
      <rPr>
        <b/>
        <u/>
        <sz val="10"/>
        <rFont val="Calibri"/>
        <family val="2"/>
        <scheme val="minor"/>
      </rPr>
      <t>2. Rafael Uribe Uribe:</t>
    </r>
    <r>
      <rPr>
        <sz val="10"/>
        <rFont val="Calibri"/>
        <family val="2"/>
        <scheme val="minor"/>
      </rPr>
      <t xml:space="preserve">
</t>
    </r>
    <r>
      <rPr>
        <b/>
        <sz val="10"/>
        <rFont val="Calibri"/>
        <family val="2"/>
        <scheme val="minor"/>
      </rPr>
      <t>* Nueva Esperanza:</t>
    </r>
    <r>
      <rPr>
        <sz val="10"/>
        <rFont val="Calibri"/>
        <family val="2"/>
        <scheme val="minor"/>
      </rPr>
      <t xml:space="preserve"> Actividades en 42 ha. Plateo de 20.656 árboles, fertilización de 13.080 y riego de 1.900; poda de césped en 50.8 ha; recolección de residuos sólidos  (44.940 kg); preparación del terreno en 2,74 ha. Se cerraron 18 puntos de vertimiento de agua. En las rondas de las quebradas se plantaron 720 individuos arbóreos y 2.550 árboles en zonas diferente a ronda de quebradas. Mantenimiento de 4.998 m de cerca y de 3 jardineras (30 jornadas). Para la vigilancia y alerta para prevenir la ocupación ilegal de predios, se realizaron 171 recorridos. Adecuación de senderos (1,699 m) y limpieza de zanjas y canales (11,049 m).
</t>
    </r>
    <r>
      <rPr>
        <b/>
        <sz val="10"/>
        <rFont val="Calibri"/>
        <family val="2"/>
        <scheme val="minor"/>
      </rPr>
      <t>* Sector Los Puentes:</t>
    </r>
    <r>
      <rPr>
        <sz val="10"/>
        <rFont val="Calibri"/>
        <family val="2"/>
        <scheme val="minor"/>
      </rPr>
      <t xml:space="preserve"> Actividades en 7  ha. Perfilamiento de taludes (2 ha); construcción de 1 jardinera; recolección de 1,5 T de residuos sólidos. 
</t>
    </r>
    <r>
      <rPr>
        <b/>
        <sz val="10"/>
        <rFont val="Calibri"/>
        <family val="2"/>
        <scheme val="minor"/>
      </rPr>
      <t>* El Portal II:</t>
    </r>
    <r>
      <rPr>
        <sz val="10"/>
        <rFont val="Calibri"/>
        <family val="2"/>
        <scheme val="minor"/>
      </rPr>
      <t xml:space="preserve"> Actividades en 4,7 ha. Poda de pasto, despeje de especies vegetales exóticas del sector, limpieza de zanja de coronación y recolección de desechos sólidos.
</t>
    </r>
    <r>
      <rPr>
        <b/>
        <sz val="10"/>
        <rFont val="Calibri"/>
        <family val="2"/>
        <scheme val="minor"/>
      </rPr>
      <t xml:space="preserve">* San Martín - La Cumbre: </t>
    </r>
    <r>
      <rPr>
        <sz val="10"/>
        <rFont val="Calibri"/>
        <family val="2"/>
        <scheme val="minor"/>
      </rPr>
      <t xml:space="preserve">Realización de 2 jornadas de sensibilización comunitaria sobre manejo de residuos. 
</t>
    </r>
    <r>
      <rPr>
        <b/>
        <sz val="10"/>
        <rFont val="Calibri"/>
        <family val="2"/>
        <scheme val="minor"/>
      </rPr>
      <t>* Granjas de San Pablo:</t>
    </r>
    <r>
      <rPr>
        <sz val="10"/>
        <rFont val="Calibri"/>
        <family val="2"/>
        <scheme val="minor"/>
      </rPr>
      <t xml:space="preserve"> Actividades en 0,273 ha. Recolección de 1,5 t de residuos sólidos; 3 recorridos para prevenir la ocupación ilegal.
</t>
    </r>
    <r>
      <rPr>
        <b/>
        <sz val="10"/>
        <rFont val="Calibri"/>
        <family val="2"/>
        <scheme val="minor"/>
      </rPr>
      <t>*Playón - Playita:</t>
    </r>
    <r>
      <rPr>
        <sz val="10"/>
        <rFont val="Calibri"/>
        <family val="2"/>
        <scheme val="minor"/>
      </rPr>
      <t xml:space="preserve"> continuación de acciones en 2,796 ha. Preparación de terreno para adelantar procesos de restauración (0,83 ha), plateo de 95 individuos, instalación de 146 m de cerca, poda de césped ( 0,023 ha), recolección de 3,7 t de residuos sólidos, limpieza de 400,3 m de canales.
</t>
    </r>
    <r>
      <rPr>
        <b/>
        <sz val="10"/>
        <rFont val="Calibri"/>
        <family val="2"/>
        <scheme val="minor"/>
      </rPr>
      <t xml:space="preserve">*El Socorro III: </t>
    </r>
    <r>
      <rPr>
        <sz val="10"/>
        <rFont val="Calibri"/>
        <family val="2"/>
        <scheme val="minor"/>
      </rPr>
      <t xml:space="preserve">continuación de acciones en 0,2583 ha. Preparación de terreno para adelantar procesos de restauración (0,0375 ha), plateo de 12 individuos, instalación de 366 m de cerca, recolección de 0,11 t de residuos sólidos.
</t>
    </r>
    <r>
      <rPr>
        <b/>
        <sz val="10"/>
        <rFont val="Calibri"/>
        <family val="2"/>
        <scheme val="minor"/>
      </rPr>
      <t xml:space="preserve">*Villas del Recuerdo: </t>
    </r>
    <r>
      <rPr>
        <sz val="10"/>
        <rFont val="Calibri"/>
        <family val="2"/>
        <scheme val="minor"/>
      </rPr>
      <t xml:space="preserve">Acciones de intervención en 0,579 ha. Plateo de 18 individuos, instalación de 182 m de cerca, recolección de 1,23 t de residuos sólidos, eliminación de especies exóticas (0,124ha).
</t>
    </r>
    <r>
      <rPr>
        <b/>
        <sz val="10"/>
        <rFont val="Calibri"/>
        <family val="2"/>
        <scheme val="minor"/>
      </rPr>
      <t>*Canal Río Seco:</t>
    </r>
    <r>
      <rPr>
        <sz val="10"/>
        <rFont val="Calibri"/>
        <family val="2"/>
        <scheme val="minor"/>
      </rPr>
      <t xml:space="preserve"> Acciones de intervención en 0,125 ha. Mantenimiento de 2 jardineras y poda de cesped en 0,005 ha.</t>
    </r>
  </si>
  <si>
    <r>
      <t xml:space="preserve">A lo largo del PDD se desarrollaron diferentes acciones, manteniendo siempre un mínimo 3; las principales acciones fueron: 
</t>
    </r>
    <r>
      <rPr>
        <b/>
        <sz val="10"/>
        <rFont val="Calibri"/>
        <family val="2"/>
        <scheme val="minor"/>
      </rPr>
      <t>1) Presidencia de la Comisión Distrital para la Prevención y Mitigación de Incendios Forestales (CDPMIF):</t>
    </r>
    <r>
      <rPr>
        <sz val="10"/>
        <rFont val="Calibri"/>
        <family val="2"/>
        <scheme val="minor"/>
      </rPr>
      <t xml:space="preserve"> *Asistencia a reuniones ordinarias (mensuales) y  extraordinarias y revisión de sus actas. *Elaboración del informe de gestión de la SDA (años 2012, 2013, 2014 y 2015) y diligenciamiento de los indicadores del Plan de Acción. * Reporte trimestral del avance de las actividades del Plan de Acción 2012 - 2016 a cargo de la SDA. *Visitas de verificación de áreas afectadas por incendio forestal. *Apoyo a los PMU instalados por incendio forestal. *Generación y ajuste del documento Plan de contingecia por riesgo de incendio forestal en la época diciembre de 2015 a junio de 2016 debido a la influencia del Fenómeno El Niño.
</t>
    </r>
    <r>
      <rPr>
        <b/>
        <sz val="10"/>
        <rFont val="Calibri"/>
        <family val="2"/>
        <scheme val="minor"/>
      </rPr>
      <t xml:space="preserve">2) Acciones de mitigación: </t>
    </r>
    <r>
      <rPr>
        <sz val="10"/>
        <rFont val="Calibri"/>
        <family val="2"/>
        <scheme val="minor"/>
      </rPr>
      <t xml:space="preserve">Mantenimiento de 40.9 ha controladas de retamo en anteriores oportunidades en: Parque Nacional Enrique Olaya Herrera, Parque El Virrey, La Arboleda, Monseñor Bernardo Sánchez, Padres Píos y Mindefensa; control de retamo en 27.05 ha del futuro Parque Metropolitano La Arboleda, Colegio Monseñor Bernardo Sánchez y Parque Nacional; manejo silvicultural  de 18.8 ha de plantación forestal  en Arborizadora Alta, Monseñor Bernardo Sánchez y Parque Nacional y despeje de 13.75 km  de caminos en: Parque Nacional, Cerro El Cable y vía a Ubaque. Plantación de 7135 árboles nativos en el futuro parque La Arboleda y plantación de 2872 individuos nativos en el Parque Nacional , como parte de la restauración de las zonas controladas de retamo.
</t>
    </r>
    <r>
      <rPr>
        <b/>
        <sz val="10"/>
        <rFont val="Calibri"/>
        <family val="2"/>
        <scheme val="minor"/>
      </rPr>
      <t xml:space="preserve">3) Capacitación:  </t>
    </r>
    <r>
      <rPr>
        <sz val="10"/>
        <rFont val="Calibri"/>
        <family val="2"/>
        <scheme val="minor"/>
      </rPr>
      <t xml:space="preserve">En control y extinción de incendios forestales dirigida a promotores ambientales, vigías ambientales, operarios, personal convenio DCC e IDIGER y grupos comunitarios.
</t>
    </r>
    <r>
      <rPr>
        <b/>
        <sz val="10"/>
        <rFont val="Calibri"/>
        <family val="2"/>
        <scheme val="minor"/>
      </rPr>
      <t>4) Elaboración del "Plan para el control de retamo en Bogotá D.C."</t>
    </r>
    <r>
      <rPr>
        <sz val="10"/>
        <rFont val="Calibri"/>
        <family val="2"/>
        <scheme val="minor"/>
      </rPr>
      <t xml:space="preserve">
</t>
    </r>
    <r>
      <rPr>
        <b/>
        <sz val="10"/>
        <rFont val="Calibri"/>
        <family val="2"/>
        <scheme val="minor"/>
      </rPr>
      <t xml:space="preserve">5) Aplicación de la valoración económica y ambiental </t>
    </r>
    <r>
      <rPr>
        <sz val="10"/>
        <rFont val="Calibri"/>
        <family val="2"/>
        <scheme val="minor"/>
      </rPr>
      <t xml:space="preserve">para determinar los daños causados por incendios forestales de gran magnitud. Se generaron seis (6) informes, uno por cada incendio de gran magnitud.
</t>
    </r>
    <r>
      <rPr>
        <b/>
        <sz val="10"/>
        <rFont val="Calibri"/>
        <family val="2"/>
        <scheme val="minor"/>
      </rPr>
      <t>6) Desarrollo de la campaña de prevención de incendios forestales.</t>
    </r>
  </si>
  <si>
    <t xml:space="preserve">De enero a mayo de 2016 se vincularon 62 familias nuevas (51 familias en la cuenca Tunjuelo y 11 en la cuenca del río blanco),  quienes cuentan con registro, plan finca e Indicadores de sostenibilidad Ambiental (verificación del estado y avance de las familias vinculadas por la SDA al proceso). Con estas familias se desarrollan  acciones desarrolladas de capacitación, asesoría y/o validación de acciones de reconversión de sistemas productivos y articulación de los aspectos productivos con las herramientas de manejo del paisaje, logrado:
•  Protección de 2.343 metros lineales en aislamiento de bosque.
• 25 familias capacitadas en el uso del árbol y buenas prácticas productivas, 
• 1.326 metros lineales de cerca vivas, 
• 2 familias apoyadas con uso de lombricultivo para uso dentro del sistema productivo y huerta
Con estas vinculaciones se cumple la Meta de 500 familias en proceso de reconversión productiva las cuales, cuentan con registro, plan finca y con análisis de los Indicadores de sostenibilidad Ambiental, con ello se verifica el estado y avance de las familias vinculadas por la SDA al proceso.
De esta manera se consolidan las 500 familias campesinas vinculadas a procesos de reconversión productiva con fines a la conservación del agua, suelo y biodiversidad, en la cuenca del Tunjuelo (217 familias en la localidad de Usme y 206 familias en la zona rural de Ciudad Bolívar) y en la cuenca del Rio Blanco en Sumapaz existen las 77 familias vinculadas, con el desarrollo de las siguientes acciones: 
•  Se establecen 24,61 ha para protección ambiental sobre área productiva, con esto se aumenta el área de conservación en la ruralidad y de conexión ecológica
•  Se  protegen 35.083,34 m² vinculados a espacios del agua, lo cual se establecio con 16420,1 metros lineales de aislamiento.
• Se instalan 18.521,86 metros lineales de aislamiento para la protección de bosque
• Se instalan 52.553,65 metros lineales de cerca viva como estrategia de aumento de biodiversidad y uso del árbol dentro del sistema productivo 
• 491 familias capacitadas en el uso del árbol y buenas prácticas productivas, 
• 165 huertas caseras fortalecidas,
• 147  familias apoyadas con prácticas de uso eficiente del recurso hídrico,
• 39  invernaderos establecidos o mejorados para la seguridad alimentaria y con inclusión de especies promisorias y 
• 62 familias con mejoramiento de instalaciones pecuarias para minimización de impactos ambientales y con acciones de Buenas Prácticas Productivas.
</t>
  </si>
  <si>
    <r>
      <t>Durante el periodo de enero a mayo 2016 se ejecutaron las siguientes acciones de recuperación ecológica en las zonas de abastecimiento de acueductos veredales: 
1. Intervención nueva en 1,5 ha en el predio El Salero (Acueducto veredal El Saltonal) y 1,5 ha en Acuapiedra Parada predio El recuerdo, para un total intervenido en el 2016 de 3 ha.
2. Mantenimiento con la fertilización foliar y arreglo de cercas, así como monitoreos al material vegetal en todas las áreas intervenidas: Agualinda Chiguaza, El Destino, Corinto Cerroredondo, Aguas Claras Olarte, Acuamarg, Arrayanes Argentina en la localidad de Usme y La Porquera, Piedraparada, Saltonal y Pasquilla Centro en la localidad de Usme. Se inician labores de replante en predio San Luis ubicado en el Acueducto Veredal de Agualinda Chiguaza. 
3. Sensibilización y formación para la conservación y manejo ambiental de</t>
    </r>
    <r>
      <rPr>
        <b/>
        <sz val="10"/>
        <rFont val="Calibri"/>
        <family val="2"/>
        <scheme val="minor"/>
      </rPr>
      <t xml:space="preserve"> 14 ha</t>
    </r>
    <r>
      <rPr>
        <sz val="10"/>
        <rFont val="Calibri"/>
        <family val="2"/>
        <scheme val="minor"/>
      </rPr>
      <t xml:space="preserve"> en el predio San Luis Acueducto Agualinda Chiguaza, con la incorporación acciones de gestión ambiental enfocadas a que el propietario del predio se concientice sobre la conservación de los recursos y servicios ambientales allí encontrados, esto con el fin de incentivar su conservación o posible ampliación del área 
Logrando consolidar durante el cuatrienio la siguiente gestión:
1. Acuerdos de implementación de actividades de recuperación ecológica participativa con veintiun (21) acueductos veredales distribuidos por localidades de la siguiente manera:  nueve (9) en Usme: El Destino, Corinto Cerroredondo, Aguas Claras Olarte, Agualinda Chiguaza, Aguas Doradas, Acuamarg, Arrayanes Argentina, Asocristalina Curubital; nueve (9) acueductos veredales en Ciudad Bolívar: Aacupasa, Asocerritoblanco, Asoporquera, Acuavida, Acuepiedraparada, Pasquilla Centro, El Saltonal, Aguas Calientes, Asoquiba y tres (3) en Sumapaz: Asouan, Asoperabeca y Asoagua y Cañizo
2. Sensibilización y formación para la conservación y manejo ambiental en</t>
    </r>
    <r>
      <rPr>
        <b/>
        <sz val="10"/>
        <rFont val="Calibri"/>
        <family val="2"/>
        <scheme val="minor"/>
      </rPr>
      <t xml:space="preserve"> 130,65 hectáreas</t>
    </r>
    <r>
      <rPr>
        <sz val="10"/>
        <rFont val="Calibri"/>
        <family val="2"/>
        <scheme val="minor"/>
      </rPr>
      <t xml:space="preserve"> los siguientes predios rurales:
Localidad de Ciudad Bolívar (67,5 ha):
• Acueducto  de Asoporquera Predio Buenos Aires 20 ha, Predio La Rivera  11ha y 1,5 ha en el nacimiento de La Porquera. 
• Acueducto  Acuaepiedraparada Predio El  Recuerdo 14.5 ha 
• Acueducto Pasquilla Predio a Palma 3,3 ha
• Acueducto El Saltonal,  Predio El Salero 17,20 ha 
Localidad de Usme (62,43 ha): 
• Acueducto Acuamarg Predio La Palma 0,72 Ha, Predio Horizonte 0,18 ha, Predio Delirios 0,2 ha, Predio Manantial 0,03 ha
• Acueducto Agualinda Chiguaza predio San Luis 22 ha
• Acueducto Aguas Claras Olarte Predio Monte bello 1,7 ha
• Centro de Entrenamiento Militar 0,7 ha
• Acueducto Aguas doradas, predio Uval la toscana 11 ha
• Acueductos del Destino y de Corinto Cerroredondo Predio Monte bello 24,4 ha
• Acueducto Arrayanes Argentina, Predio Jamaica Usme 1,5 ha
Localidad de Sumapaz (0,72 ha)
• Acueducto Asouan  Predio La Pradera 0,72 ha
3. Restauración ecológica participativa en 45 hectáreas en zonas abastecedoras de 12 acueductos veredales, consolidados de la siguiente manera:
• Año 2016: Acuepiedra parada: 1.5 Ha (Ciudad Bolívar) y Acueducto Saltonal 1.5 Ha (Usme)
• Año 2015: Asouan 0.52 Ha (Sumapaz), Acuepiedraparada 4.4 Ha, Pasquilla Centro 3.3 Ha, El saltonal  1 .7 Ha (Ciudad Bolívar), Agualinda Chiguaza 1.7 Ha,El Destino 3.05 Ha, Aguas claras Olarte  1 Ha, Acuamarg  1.13 Ha,  (Usme) :16.75 ha
• Año 2014: Asoporquera 0.2 Ha (Ciudad Bolívar), Agualinda Chiguaza 3 Ha (Usme), Asouan 0.2 Ha (Sumapaz), Aguas Claras Olarte 0.7 Ha (Usme) y Acuepiedraparada 8.6 Ha (Ciudad Bolívar): 12.7 ha
• Año 2013: Aguas Doradas 11 Ha (Usme).
• Año 2012: Asoporquera 1.5 Ha (Ciudad Bolívar)
</t>
    </r>
  </si>
  <si>
    <t>FORMATO ACTUALIZACIÓN Y SEGUIMIENTO A LAS ACTIVIDADES</t>
  </si>
  <si>
    <t>SUBDIRECCIÓN DE ECOSISTEMAS Y RURALIDAD</t>
  </si>
  <si>
    <t>821 “Fortalecimiento de la gestión ambiental para la restauración, conservación, manejo y uso sostenible de los ecosistemas urbanos y de las áreas rurales del Distrito Capital</t>
  </si>
  <si>
    <t>5, PONDERACIÓN HORIZONTAL AÑO: 2016</t>
  </si>
  <si>
    <t>7, OBSERVACIONES AVANCE ACUMULADO VIGENCIA 2016</t>
  </si>
  <si>
    <t>1. Supervisar y apoyar  la gestión  de adquisición de predios por parte de las entidades competentes</t>
  </si>
  <si>
    <t>Programado</t>
  </si>
  <si>
    <t xml:space="preserve">Se realizó el comité de seguimiento No 50  al Convenio 030 de 2009 SDA-EAB/ESP el día 11 de febrero de 2016, en el cual se determinó el avance individual de cada uno de los inmuebles : 
Predio 12 -Octavio Sarmiento. Pendiente la el registro de la Resolución de Expropiación y la entrega del inmueble y se comprometen a realizar los trámites ante la oficina de registro de instrumentos públicos zona centro y ante catastro distrital para el registro de la resolución y la mutación catastral  
Predio 13 Emma Garzón. El área jurídica de la DBR de la EAB-ESP informa que a la fecha no se ha entregado el informe técnico, insumo para realizar el alcance de la oferta de compra y sigue vigente el proceso de reparación directa interpuesta por los propietarios contra la EAB-ESP.
Predios 18 y 21 - INTERCREDIT: Pendiente de la reunión de la dirección Ambiental y dirección Jurídica de la EAB-ESP y del concepto técnico de la SER-SDA, para continuar con el proceso de expropiación.
Predios 19 y 20 - INDEGA: Los propietarios presentaron recurso de reposición contra la resolución de expropiación y en respuesta se confirmó la decisión. Está pendiente el registro de la resolución de expropiación en la oficina de registro de instrumentos públicos y la entrega de los inmuebles.  
Del predio 24, propiedad de CHALLENGER,  Los funcionarios de la SDA, solicitan que se verifique el registro de la resolución de expropiación, toda vez que al verificar el certificado libertad y tradición, no se observa el desenglobe por la expropiación parcial del predio y el remanente del predio matriz. Los propietarios entablaron demanda de nulidad y restablecimiento del derecho contra la EAB-ESP 
Predios 33 y 34 Fiduciaria Colpatria – Urb. Baleares III. Informan los funcionarios de la EAB-ESP que Catastro Distrital no ha entregado los avalúos solicitados, insumos requeridos para la presentación de la oferta de compra, considerando que los predios fueron entregados parcialmente al Distrito Capital en calidad de zonas de cesión.
</t>
  </si>
  <si>
    <t>Ejecutado</t>
  </si>
  <si>
    <t>Generar en  234,3hectáreas procesos de recuperación, rehabilitación, restauración y/o conservación de las zonas de ronda hidráulica y/o ZMPA de tramos de quebradas.</t>
  </si>
  <si>
    <t>3. Desarrollar la recuperación integral de quebrada (diagnosticos biofisico-social, gestión social, diseños, intervencion) en las Subcuencas de Torca, Salitre, Tunjuelo y Fucha.</t>
  </si>
  <si>
    <t xml:space="preserve">Durante los últimos meses del Plan de Desarrollo de Bogotá Humana (enero-mayo de 2016) se realizó una intervención total de 2,23 km (6,6 ha) con procesos de recuperación ecológica en las zonas de ronda y ZMPA de las siguientes quebradas: 0,15 km adicionales en la quebrada Santa Bibiana, 0,43km (0,6 ha) en la quebrada La Floresta y 1,65 km (6 ha) en la quebrada Madremonte; estas hectáreas ya contaban con proceso de planificación y diseño. Dentro de la priorización de nuevas áreas se avanzó en un 50% de las quebradas ubicadas en la Serranía del Zuque, equivalente a 10 hectáreas nuevas en gestión, para un total acumulado de la meta de  242.46 hectáreas.. </t>
  </si>
  <si>
    <t>4. Generar los conceptos tecnicos encaminados a revisar y aprobar los estudios de alinderamiento de los cuerpos de agua vinculados a la Estructuta Ecologica Principal elaborados y remitidos por la Empresa de Acueducto y Alcantarillado de Bogotá. De acuerdo con lo establecido en el Decreto 190 de 2004.</t>
  </si>
  <si>
    <t>De manera permanente se generan de informes técnicos para proteger, restaurar y mantener la Estructura Ecológica Principal con el fin de preservar los valores ecológicos, ambientales y socioculturales, la biodiversidad y elementos constitutivos del sistema hídrico y los procesos de conectividad ecológica con los elementos de la EEP del distrito, y la protección de hábitat de especies en categorías de amenaza existentes, para favorecer el establecimiento de flora y fauna propias de los ecosistemas dentro del perímetro urbano como características propias de estos ecosistemas.
Durante el primer trimestre del año 2016 se generaron los siguientes informes técnicos:
Informe Técnico No. 0150 Solicitud Información y Sopottes Gestión Predial Quebrada Morací 2016IE04242
Informe Técnico No. 0151 Solicitud Información y Sopottes Gestión Predial Quebrada Las Delicias 2016IE04244
Informe Técnico No. 0175 Analizar y evaluar viabilidad infraestructura del fuente ambiental de carabineros dentro de la ZMPA del PEDH Juan Amarillo 2016IE23380
Informe Técnico No. 0177 Identificar condición actual de predio ubicado en la Carrera 76 No. 145-06 por consulta de CAVIMPRO 2016IE24334
Informe Técnico No. 0222 Ocupación CER Río Tunjuelo por Parqueaderos y Taller de Vehiculos 2016IE39266
Informe Técnico No. 0223 Permiso Ocupación de Cauce Proyecto Construccion Interceptor Tibabuyes - Estación de Bombeo Cañiza 2016IE41116
Informe Técnico No. 0259 Realizar Evaluación Afectación ZMPA Madre Vieja Sector Rincón De Torca Calles 178 y 181 - 2016IE49446
Informe Técnico No. 0262 Alcance IT 263 Redelimitación ZMPA Rio Tunjuelo Predio La Turquesa 2016IE50999
Informe Técnico No. 0263 Redelimitación ZMPA Rio Tunjuelo Predio La Turquesa 2016IE51003
Informe Técnico No. 0264 Verificación Geomorfologica Predio El Zuque 2016IE51976
Informe Técnico No. 0265 Solicitud Levantamiento Topografico Jarillón entre PEDH Tibanica y Canal Tibanica 2016IE53131
Informe Técnico No. 0266 Solicitud Acompañamiento y Apoyo a la continuacion de diligencia de desalojo por cumplimiento de fallo de Tutela T-908/12 del Juzgado Civil Municipal de Bogotá - Caso Hacienda Los Molinos 2016IE53156
Informe Técnico No. 0267 Descripcion y Evaluacion Componente Biotico de la Quebrada El Piojo 2016IE53158
Informe Técnico No. 0268 Caracterización técnica ambiental de la Quebrada Chicó en el tramo comprendido entre la Kr 7 con Cl 93A y Kr 9 con Cl 93B, como soporte técnico para viabilizar el alinderamiento del CER de la Quebrada Chicó y su incorporación a la actual EEP del DC. 2016IE53376
Informe Técnico No. 0269 Acompañamiento Técnico para la Inspección Judicial de la Fiscalia General de la Nación Poligono 17 Radicado 2016IE53400
Informe Técnico No. 0295 Verificar la Ronda Hidraulica y Zona de Manejo de Preservación Ambiental de la Quebrada Los Olivos 2016IE57522
Informe Técnico No. 0302 Modificación del Permiso de Ocupación de Cauce POC Resolución 01816 del 07 de octubre de 2015 2016IE59248
Informe Técnico No. 0309 Reporte de Afectación del Corredor Ecologico de Ronda del Río Tunjuelo en el Sector Guadalupe y Levantamiento Topografico Delimitación Actual 2016IE60631
Informe Técnico No. 0506 Solicitud Evaluación Construcción Obras de mitigación estabilización y cerramiento CER Quebrada Las Delicias por Proyecto Torrelasalle 2016IE81848
Al igual que se generaron conceptos técnicos:
Concepto Técnico No. 0401 Acompañamiento Técnico Inspección Construcciones Ilegales Alcaldía usaquen 2016IE17080
Concepto Técnico No. 0881 Afectación Construcción Inmueble y Pastoreo Semovientes en CER Quebrada Hoya del Ramo 2016IE41050
Concepto Técnico No. 1261 Afectación Pastoreo Semovientes PEDH Torca y Guaymaral 2016IE51014
Concepto Técnico No. 1337 Afectación al Parque Ecológico Distrital de Humedal Jaboque 2016IE56328
Concepto Técnico No. 2485 Insumo Afectaciones Ambientales Desarrollo Obra Instalacion Cerramiento Perimetral y Sendero Peatonal PEDH Jaboque Barrio UNIR II Radicado 2016IE71460</t>
  </si>
  <si>
    <t>Se inicio el proceso de mantenimiento en las quebradas intervenidas en la Subcuenca Tunjuelo</t>
  </si>
  <si>
    <t xml:space="preserve">Gestionar 331,13 hectáreas de las zonas de ronda hidráulica y/o zonas de manejo y protección ambiental - ZMPA de tramos de  humedales, para su recuperación, rehabilitación </t>
  </si>
  <si>
    <t xml:space="preserve">De enero a mayo 2016, se realizó la evaluación de los documentos para el otorgamiento del Permiso de Ocupación de Cauce para la intervención física que realizará la CAR en el sector nor-occidental del PEDH Juan Amarillo (3 ha) y se realizó seguimiento al estado de los vertederos de los PEDH Tibanica y Córdoba, el biofiltro de La Vaca, y la estructura disipadora de energía del Burro, equivalente a una 1 hectárea. 
</t>
  </si>
  <si>
    <t>se hizo el acompañamiento técnico a los procesos de formulación de los PEDH El Salitre, Tunjo y La Isla, mediante el aporte de información técnica, verificación en campo y lineamientos para la construcción de la línea base.</t>
  </si>
  <si>
    <t>8. Adelantar acciones de administración y manejo en  los parques ecológicos distritales de humedal en el marco de las politicas establecidas, desarrollando acciones para promover el uso público y la gestión del conocimiento</t>
  </si>
  <si>
    <t xml:space="preserve">Se continua con la administración directa del Parque Ecológico Distrital de Humedal Santa María del Lago, desarrollando las cuatro líneas de acción (vigilancia, monitoreo y gestión interinstitucional y social). 
Se desarrolló gestión interinstucional para el manejo de residuos sólidos ordinarios y de construcción y demolición el humedal Tunjo.
En el marco del día internacional de los humedales, se implementaron actividades participativas en cada uno de los ecosistemas.
Adicionalmente en estos humedales se adelanta la articulación interinstitucional, partiendo de la elaboración de un Plan de Acción Ambiental y del Plan Operativo Anual y la participación en las mesas interinstitucionales. En la línea de monitoreo se realizaron las tomas de datos respectivas para este periodo, cuyos resultados reposan en los informes y matrices que contienen información como riqueza y abundancia de especies y  familias más diversas.
De igual manera, esta última gestión se realiza en los humedales de Torca - Guaymaral, Conejera, Córdoba, Juan Amarillo, Jaboque, Capellanía, Meandro del Say, Techo, El Burro, La Vaca, Tunjo, Tibanica, con los equipos técnicos.
Se cuenta con un protocolo de atención prioritaria para atención de incendios generado desde el humedal Tunjo y para ajustar a todos los humedales del Distrito.
En atención a las estrategias de la Política de Humedales del Distrito Capital y los planes de acción de los Planes de Manejo Ambiental, instrumentos de planificación orientadores de la gestión en los Parques Ecológicos Distritales de Humedal, se implementaron los Planes Operativos Anuales para 14 humedales, bajo el desarrollo y seguimiento (según aplique) de actividades como: obras de recuperación y protección ambiental; restauración ecológica; gestión social y educación ambiental; monitoreo biótico, social y del recurso hídrico; evaluación, control y seguimiento de factores de tensión.
</t>
  </si>
  <si>
    <t>9.Desarrollar acciones de manejo y mantenimiento en las áreas intervenidas en el río Tunjuelo.</t>
  </si>
  <si>
    <t>Se inicio el segundo ciclo de mantenimiento en las 7,2 hectáreas intervenidas en el rio Tunjuelo en los sectores de Boita 1 (2 ha), Jacqueline (1,5 ha ) y Villa del río (3,7 ha)</t>
  </si>
  <si>
    <t>10. Implementar las acciones orientadas a la producción de material vegetal en los viveros de la SDA y mejoramiento del modelo de gestión actual</t>
  </si>
  <si>
    <t xml:space="preserve">Esta meta se cumple con el fortalecimiento de los viveros ubicados en Soratama y PEDM Entrenubes con la siguiente producción:
Vivero Soratama 
Para esta vigencia se tenían en desarrolló 14027 individuos  y disponibles para plantación 7534, se desarrollaron actividades de recolección de semillas de Laurel de Cera hojigrande y hojipequeño, duraznillo, tagua, blanquillo y Gurrubo, se realizaron actividades de deshierbe de bolsa y de suelo, preparación de sustrato, poda fitosanitarias, preparación y siembra en semilleros, riegos y fertirriegos y aplicaciones fitosanitarias.
Vivero Entrenubes 
Cuenta con 26000 individuos vegetales en desarrollo, donde se hace un mantenimiento general al material vegetal acopiado y la recolección de semillas de Arboloco, Laurel de Cera Hojipequeño, propagación de Romerillo, tagua,  cerezo, Gurrubo, entre otras, transplante de material vegetal de semillero a bolsa de Garrocho, Espino Garbanzo , Tomatillo, Hayuelo y Aliso  .
Y  en funcionamiento dos (2) viveros temporales en:
Vivero BITER
Se realizó la propagación de material vegetal (5000 individuos) y mantenimiento de 16.048 individuos, plantación de 500 individuos en la parte alta del polígono, recolección de semilla de Lupinus mutabilis y bogotensis.
Vivero Humedal La Vaca 
Mantenimiento general al material vegetal (10000 individuos). 
</t>
  </si>
  <si>
    <t>11. Adelantar las acciones requeridas para la adecuación, mejoramiento y mantenimiento de los viveros administrados por la SDA.</t>
  </si>
  <si>
    <t xml:space="preserve">Vivero Soratama 
Se hizo un cambio total de la infraestructura del área de propagación, así como la adecuación de las eras de crecimiento, y embolse. Además, se implementó un sistema de cosecha de aguas que permite el suministro para las labores de producción.
Vivero Entrenubes 
Se adelantaron acciones encaminadas a la recuperación de las terrazas de crecimiento de material vegetal, se acondicionaron polisombras en las eras de crecimiento. Para la propagación se mejoraron los germinadores y se cambió la cobertura de los mismos, y por último, se mejoró la vía carreteable que conduce al vivero con aplicación de recebo.
Se proyecta constituir otro vivero Humedal Tibanica, donde se adelantó el diseño y adecuación del área e instalación de la infraestructura del invernadero. Hace falta la adecuación e instalación de germinadores.
</t>
  </si>
  <si>
    <t>Avanzar la gestión en 260 hectáreas para la adquisición predial en suelo de protección del D.C.</t>
  </si>
  <si>
    <t>12. Desarrollar los procesos de gestion predial para su adquisición a partir de los avaluos existentes y realizar la priorización y gestión para el avalúo de nuevos predios</t>
  </si>
  <si>
    <t xml:space="preserve"> 13. Realizar el mantenimiento, implementación y monitoreo de acciones para conservación , restauración, rehabilitación y/o recuperación en suelo de protección del Distrito Capital.</t>
  </si>
  <si>
    <t xml:space="preserve">Durante el periodo de enero a mayo de 2016, se adelantó la siguiente gestión de restauración ecológica en el suelo de protección:
1. Acciones de intervención en áreas nuevas: en el Parque Ecológico Distrital de Montaña Entrenubes – PEDMEN, se realizó la intervención en  predio 107 (2,55  ha),  en el predio 503 (4 ha), en el predio 34 (0,64 ha) y en los predios 93, 94, 95, 96 y 99 (1,95 ha), para un total intervenido o conservado de 9,14 hectáreas más las anteriores intervenciones (139,98)  para un total  143,75 ha.
2. Acciones de diagnóstico y diseño: se adelantó con el equipo os profesionales del grupo de restauración el diagnóstico y diseños preliminares a un área total de 138,9 hectáreas en el área de Chisacá se identificaron en principio 4 zonas de rehabilitación, sin embargo solo tres de ellas se priorizaron, zona de rehabilitación 1 correspondiente a área de pastizales 20,2 ha , zona de rehabilitación 2 correspondiente a claros en plantaciones exóticas 17,1 ha y zona de rehabilitación 3 áreas invadidas por retamo espinoso (Ulex europaeus) 0,06 para un total de 37,36 ha.  En cuanto al área del Zuque desde el grupo de restauración se priorizaron 11 zonas para un total de 63,68 ha, Zona afectada por incendios 0,54 ha, Zona sin cobertura vegetal 3,45 ha, Zona del Chuscal 3,33 ha, zona de retamo 0,82 ha, zona de transición de cobertura vegetal 10,69 ha, bosque plantado 20,3 ha y vegetación de porte bajo 24,55ha.  Para el embalse de la regadera se identificaron y priorizaron 4 zonas para la restauración, Zona 1 es un área con parches de vegetación nativa 2,0 ha, zona 2 áreas invadidas por retamo espinoso (Ulex europaeus) 18 ha, zona 3 áreas de pastizales 5,36 ha y zona 4 plantaciones forestales de especies exóticas 12,5 ha para un total de 37,86 ha.
3. Acciones de mantenimiento en 3 zonas para un total de 33.6 ha intervenidas las cuales se distribuyeron de la siguiente manera: en Arborizadora Alta (7 ha), en el Parque Ecológico Distrital de Montaña - PEDMEN 18.9 ha (predios 90, 54, 55, 51, 52 y 53) y el tercer ciclo de mantenimiento en 7,7 ha (predios 117, 120, 121 y 175). Parque Ecológico Distrital de Montaña - PEDMEN  se realizó mantenimiento en 11,9 ha (predios 67, 35, 36, 55 y 107) .
4. Acciones de Monitoreo a procesos de restauración ecológica: se realizó el montaje de 26 parcelas nuevas para monitoreo, donde se realizó la  identificación de áreas de intervención, delimitación de parcelas, toma de datos de vegetación asociada existente, verificación de estado actual de las áreas. Toma de datos en 30 parcelas US6 de los polígonos del proyecto "Acciones de restauración, rehabilitación y recuperación ecológica en áreas invadidas por retamo espinoso en el marco del convenio 08/09 suscrito con la Universidad Nacional de Colombia" donde se realizaron acciones de Identificación de áreas de monitoreo, verificación de parcelas, toma de datos, verificación de estado actual de las áreas.
</t>
  </si>
  <si>
    <t>14. Realizar acciones de coordinación interna y externa para la implementación de acciones de manejo en el suelo de protección</t>
  </si>
  <si>
    <t>Se adelantarion acciones administrativas para coordinar la presentación de informes de seguimiento y armonización de los procesos adelantados en el Suelo de protección.</t>
  </si>
  <si>
    <t>15. Realizar las acciones de administración integral del PEDM Entrenubes y las áreas de interés ambiental Parque Mirador de los Nevados y Soratama, incluyendo aquellas para la promoción del uso público.</t>
  </si>
  <si>
    <t>Durante este periodo se continuó con la administración directa en el Parque Ecológico Distrital de Montaña Entrenubes (269 ha), Parque Mirador de los Nevados (6 ha),  Parque Soratama (6 ha) y  30 ha en Arborizadora Alta (Cerro Seco),  bajo las líneas de acción de vigilancia,  monitoreo y gestión interinstitucional. 
 Con relación a las acciones de mejora en las áreas administradas se logró la construcción de nuevas redes hidráulicas de suministros de agua potable, redes de riego, redes de recolección de aguas sanitarias y pluviales y obras complementarias del Parque Mirador de los Nevados, mediante la ejecución del contrato 1528 de 2014; así mismo se cuenta con al diseño arquitectónico de las Aulas Ambientales en el Mirador de Juan Rey del Parque Entrenubes y del Aula Ambiental Soratama y el diseño de senderos peatonales, carreteables e interpretativos en el Parque Entrenubes, realizado en el marco del contrato de consultoría No. 1513 de 2013.</t>
  </si>
  <si>
    <t>16. Adelantar las gestiones técnicas  necesarias para adelantar acciones de administración en otros sitios de interés ambiental</t>
  </si>
  <si>
    <t>Se continuó con la gestión para iniciar acciones de administración y manejo  predio denominado Serranía El Zuque, solicitando a la  Dirección Legal Ambiental, un concepto sobre la viabilidad jurídica para recibir este predio, el cual está ubicado en la localidad de San Cristóbal, en la zona de Reserva Forestal Protectora Bosque Oriental de Bogotá, bajo la custodia del DADEP.</t>
  </si>
  <si>
    <t>17. Articulación y acompañamiento técnico en la armonización del Plan de Desarrollo referente a las acciones de ordenamiento en los bordes urbanos-rurales.</t>
  </si>
  <si>
    <t>18. Adelantar la concertación interinstitucional y gestiones necesarias para el fortalecimiento local y regional del modelo de ocupación campesino del territorio borde sur, como estrategia para detener la expansión urbana sobre el suelo de protección y la ruralidad del D.C.</t>
  </si>
  <si>
    <t xml:space="preserve">Ejecutar en 140 hectáreas de zonas de alto riesgo no mitigable o alta amenaza, acciones socioambientales y/o acciones de administración, manejo y custodia de inmuebles </t>
  </si>
  <si>
    <t>19. Desarrollar acciones socio ambientales para aportar en la recuperación ecológica de zonas de alto riesgo no mitigable en las localidades de Rafael Uribe Uribe y Ciudad Bolívar.</t>
  </si>
  <si>
    <t>20. Desarrollar acciones interinstitucionales, técnicas y sociales orientadas a la gesti ón de riesgo por incendio forestal.</t>
  </si>
  <si>
    <t>21. Responder a las emergencias ambientales para las cuales se activa a la SDA, por parte de las entidades del SDGR-CC, el NUSE y la comunidad.</t>
  </si>
  <si>
    <t>22, Implementar acciones de ordenamiento predial, restauración y reconversión de sistemas productivos afines a la conservación de los recursos naturales en los predios priorizados  para 2013 y los gestionados en 2012, fortaleciendo redes sociales y mercados</t>
  </si>
  <si>
    <t xml:space="preserve">A Marzo de 2016,  la entidad ha vinculado 467 familias, (212 familias en la localidad de Usme y 185 familias en la zona rural de Ciudad Bolívar y 70 en Sumapaz) las cuales cuentan con registro, plan finca y con análisis de los Indicadores de sostenibilidad Ambiental (verificación del estado y avance de las familias vinculadas por la SDA al proceso). Con las acciones de capacitación, asesoría y/o validación de acciones de reconversión de sistemas productivos, y articulando con las herramientas de manejo del paisaje aplicables a aspectos productivos, se presenta los siguientes avances:
En las familias de la cuenca del Tunjuelo (212 familias en la localidad de Usme y 185 familias en la zona rural de Ciudad Bolívar), se destaca:
• Se protegen 14.193,47 m² vinculados a espacios del agua, con 12.516 metros lineales en aislamiento de bosque,  para un total de 19.642 Ha liberadas de producción para la conservación de la biodiversidad, el suelo y el agua.
• 397 familias capacitadas en el uso del árbol y buenas prácticas productivas, 
• 36.268 metros lineales de cerca vivas, 
• 102 huertas caseras fortalecidas,
• 116 familias apoyadas con prácticas de uso eficiente del recurso hídrico,
• 22  invernaderos establecidos o mejorados para la seguridad alimentaria y con inclusión de especies promisorias y 
• 59 familias con mejoramiento de instalaciones pecuarias para minimización de impactos ambientales y con acciones de Buenas Prácticas Productivas.
En la cuenca del Rio Blanco en Sumapaz existen las 70 familias vinculadas, con el desarrollo de las siguientes acciones:
• Protección del recurso hídrico sobre nacederos y ronda hídrica (38.110,8 metros cuadrados) en 40 familias.
• Protección con cerca viva (1272.6 metros lineales de cerca).
•  Instalación de sistema silvopastoril en 856.12 m² 
• En acciones de buenas prácticas productivas con énfasis en la protección del recurso hídrico con  la entrega de bebederos a 39 familias de bebederos  
• Aclarado en 2.566 metros de zanjas de drenaje en predios de (8) ocho familias.
• 43 familias apoyadas en acciones de seguridad alimentaria y autoabastecimiento, y apoyo en la construcción de 17 invernaderos.
• 3 apoyadas con acciones de mejoramiento de instalaciones pecuarias
• 5 familias apoyadas con uso de lombricultivo para uso dentro del sistema productivo y huerta
</t>
  </si>
  <si>
    <t>Intervenir 120 hectáreas estratégicas asociadas al abastecimiento de acueductos veredales con acciones de gestión ambiental.</t>
  </si>
  <si>
    <t>23, Adelantar acciones integrales orientadas a la restauración, recuperación, rehabilitación o conservación en las zonas abastecedoras de acueductos veredales (incluye el mantenimiento de coberturas vegetales establecidas con anterioridad y la gestión social e institucional)</t>
  </si>
  <si>
    <t xml:space="preserve">Durante el periodo de enero a mayo 2016 se ejecutaron las siguientes acciones de recuperación ecológica en las zonas de abastecimiento de acueductos veredales: 
1. Intervención nueva en 1,5 ha en el predio El Salero (Acueducto veredal El Saltonal) y 1,5 ha en Acuapiedra Parada predio El recuerdo, para un total intervenido en el 2016 de 3 ha.
2. Mantenimiento con la fertilización foliar y arreglo de cercas, así como monitoreos al material vegetal en todas las áreas intervenidas: Agualinda Chiguaza, El Destino, Corinto Cerroredondo, Aguas Claras Olarte, Acuamarg, Arrayanes Argentina en la localidad de Usme y La Porquera, Piedraparada, Saltonal y Pasquilla Centro en la localidad de Usme. Se inician labores de replante en predio San Luis ubicado en el Acueducto Veredal de Agualinda Chiguaza. 
3. Sensibilización y formación para la conservación y manejo ambiental de 14 ha en el predio San Luis Acueducto Agualinda Chiguaza, con la incorporación acciones de gestión ambiental enfocadas a que el propietario del predio se concientice sobre la conservación de los recursos y servicios ambientales allí encontrados, esto con el fin de incentivar su conservación o posible ampliación del área 
</t>
  </si>
  <si>
    <t>Desarrollar 1 Sistema de seguimiento y evaluación a la implementación de la  normatividad , políticas, planes, programas e iniciativas de proyectos ambientales.</t>
  </si>
  <si>
    <t>24,  Ejecutar del esquema de seguimiento y evaluación a la implementación de los instrumentos de gestión priorizados</t>
  </si>
  <si>
    <t xml:space="preserve">
Se cargó información en el portal SIAC, en el link de comunidades, relacionada con planificación y revisión de informes de PIGA suministrada por la SPPA. También se viene adelantando parte de la consolidación de informes (seguimiento y control) entregados por SCASP para ser cargados en la misma herramienta (vigencia 2015).
Se cargó en el portal SIAC, la información  de piezas comunicativas acerca de movilidad sostenible para que ésta informacion sea utilizada por las entidades Distritales.</t>
  </si>
  <si>
    <t>25.  Adelantar acciones de coordinación con las diferentes dependencias de la SDA para apoyar la formulación y la implementación de los diferentes instrumentos de gestión: 1) Departamentos de Gestión Ambiental, 2) Plan Distrital y Adaptación Cambio Climático, 3) Plan Distrital de silvicultura urbana, 4) Plan Decenal en fuentes moviles y fijas en desarrollo al Plan de Descontaminación de Aire, 5) Plan Institucional de Gestión Ambiental a nivel Distrital y 6) Plan de Accion Cuatrienal Ambiental PACA a nivel de la SDA y 7) Certificados del Estado de Conservación Ambiental</t>
  </si>
  <si>
    <r>
      <t xml:space="preserve">En el último periodo del PDD se realizaron acciones en 5 hectáreas, en el marco del convenio de asociación 1344/15 (en Rafael Uribe Uribe), así:
</t>
    </r>
    <r>
      <rPr>
        <b/>
        <sz val="8"/>
        <rFont val="Arial"/>
        <family val="2"/>
      </rPr>
      <t xml:space="preserve">* Sector Nueva Esperanza: </t>
    </r>
    <r>
      <rPr>
        <sz val="8"/>
        <rFont val="Arial"/>
        <family val="2"/>
      </rPr>
      <t xml:space="preserve">se continuó con el mantenimiento de 42 ha, con las siguientes actividades: preparación del terreno en 2,74 ha, adecuación de 47 m de sendero, mantenimiento de 2 huertas comunitarias, plantación de 720 individuos vegetales en aprox. 2 ha; 1 jornada de sensibilización comunitaria, 4 recorridos con población estudiantil, mantenimiento de 100 m de cerca, limpieza de 330 m de canales, eliminación de especies exóticas en 0,06 ha. 
</t>
    </r>
    <r>
      <rPr>
        <b/>
        <sz val="8"/>
        <rFont val="Arial"/>
        <family val="2"/>
      </rPr>
      <t xml:space="preserve">*Playón - Playita: </t>
    </r>
    <r>
      <rPr>
        <sz val="8"/>
        <rFont val="Arial"/>
        <family val="2"/>
      </rPr>
      <t xml:space="preserve">continuación de acciones en 2,796 ha, que corresponden a: preparación de terreno para adelantar procesos de restauración (0,83 ha), plateo de 95 individuos (0,678 ha), instalación de 146 m de cerca (0,04 ha), poda de césped (0,023 ha), recolección de 3,7 t de residuos sólidos (2,796 ha), limpieza de 400,3 m de canales (0, 04 ha).
</t>
    </r>
    <r>
      <rPr>
        <b/>
        <sz val="8"/>
        <rFont val="Arial"/>
        <family val="2"/>
      </rPr>
      <t>*El Socorro III:</t>
    </r>
    <r>
      <rPr>
        <sz val="8"/>
        <rFont val="Arial"/>
        <family val="2"/>
      </rPr>
      <t xml:space="preserve"> continuación de acciones en intervención en 0,2583 ha, que corresponden a: preparación de terreno para adelantar procesos de restauración (0,0375 ha), plateo de 12 individuos (0,0108 ha), instalación de 366 m de cerca (0,21 ha), recolección de 0,11 t de residuos sólidos.
</t>
    </r>
    <r>
      <rPr>
        <b/>
        <sz val="8"/>
        <rFont val="Arial"/>
        <family val="2"/>
      </rPr>
      <t xml:space="preserve">*Villas del Recuerdo: </t>
    </r>
    <r>
      <rPr>
        <sz val="8"/>
        <rFont val="Arial"/>
        <family val="2"/>
      </rPr>
      <t xml:space="preserve">continuación de acciones de intervención en 0,579 ha, que corresponden a: plateo de 18 individuos ( 0,375 ha), Instalación de  182 m de cerca (0,08 ha), recolección de 1,23 t de residuos sólidos, eliminación de especies exóticas (0,124ha).
</t>
    </r>
    <r>
      <rPr>
        <b/>
        <sz val="8"/>
        <rFont val="Arial"/>
        <family val="2"/>
      </rPr>
      <t>*Los Puentes:</t>
    </r>
    <r>
      <rPr>
        <sz val="8"/>
        <rFont val="Arial"/>
        <family val="2"/>
      </rPr>
      <t xml:space="preserve"> Intervención de 5 ha nuevas, con actividades de: recolección de residuos, construcción de una jardinera y limpieza de canales.
</t>
    </r>
    <r>
      <rPr>
        <b/>
        <sz val="8"/>
        <rFont val="Arial"/>
        <family val="2"/>
      </rPr>
      <t>*Canal Río Seco:</t>
    </r>
    <r>
      <rPr>
        <sz val="8"/>
        <rFont val="Arial"/>
        <family val="2"/>
      </rPr>
      <t xml:space="preserve"> Mantenimiento de 2 jardineras en 0,12 ha nuevas  y poda de cesped en 0,005 ha.</t>
    </r>
  </si>
  <si>
    <r>
      <t xml:space="preserve">Se realizaron 3 acciones de gestión durante abril y mayo de 2016 que correspondieron a: 
</t>
    </r>
    <r>
      <rPr>
        <b/>
        <sz val="8"/>
        <rFont val="Arial"/>
        <family val="2"/>
      </rPr>
      <t xml:space="preserve">1) Presidencia de la Comisión Distrital para la Prevención y Mitigación de Incendios Forestales (CDPMIF): </t>
    </r>
    <r>
      <rPr>
        <sz val="8"/>
        <rFont val="Arial"/>
        <family val="2"/>
      </rPr>
      <t xml:space="preserve">
*Asistencia a dos (2) reuniones ordinarias y revisión de sus actas.
* Publicación del informe de Gestión 2015 de la CDPMIF en la página web de la SDA.
 </t>
    </r>
    <r>
      <rPr>
        <b/>
        <sz val="8"/>
        <rFont val="Arial"/>
        <family val="2"/>
      </rPr>
      <t>2) Acciones de mitigación:</t>
    </r>
    <r>
      <rPr>
        <sz val="8"/>
        <rFont val="Arial"/>
        <family val="2"/>
      </rPr>
      <t xml:space="preserve">
* Direccionamiento y acompañamiento técnico a personal del Convenio 012 de 2016 suscrito entre IDIGER y DCC, en el desarrollo de actividades de mantenimiento en 2,8 ha controladas de retamo, ubicadas en el futuro Parque La Arboleda.
* Coordinación y participación en reuniones y salidas de campo para definir acciones de recuperación de las áreas afectadas por incendio forestal en Monserrate y en las localidades de San Cristóbal y Santa Fe. 
</t>
    </r>
    <r>
      <rPr>
        <b/>
        <sz val="8"/>
        <rFont val="Arial"/>
        <family val="2"/>
      </rPr>
      <t>3) Campaña de Prevención de Incendios Forestales:</t>
    </r>
    <r>
      <rPr>
        <sz val="8"/>
        <rFont val="Arial"/>
        <family val="2"/>
      </rPr>
      <t xml:space="preserve">
* Taller de capacitación dirigido a personal del Convenio 012 de 2016 (IDIGER-DCC), enfocado en gestión de riesgo por incendio forestal en el Distrito. En dicha actividad se contó con la participación de: JB, CAR, UAECOB, IDIGER y SDA.
* Taller de capacitación en  control y extinción de incendios forestales, dirigido a personal de seguridad y educación del Parque Entrenubes; en dicha actividad se contó con la participación de la UAECOB y SDA.  </t>
    </r>
  </si>
  <si>
    <r>
      <t xml:space="preserve">Los tiempos de respuesta a emergencias ambientales competencia y jurisdicción de la SDA se midieron a través de un indicador que finalizó a 31 de mayo de 2016 en 95,0%. El indicador se comportó de la siguiente manera: abril: 99,4% - mayo: 100%.
En este período (abril-mayo) se recibieron y atendieron 258 emergencias, de las cuales 247 se atendieron oportunamente (en un tiempo máximo 16 horas) y 1 se atendió por fuera de este rango de tiempo. 
*  Para este trimestre los eventos correpondieron a:
</t>
    </r>
    <r>
      <rPr>
        <b/>
        <sz val="8"/>
        <rFont val="Arial"/>
        <family val="2"/>
      </rPr>
      <t xml:space="preserve"> - Abril: </t>
    </r>
    <r>
      <rPr>
        <sz val="8"/>
        <rFont val="Arial"/>
        <family val="2"/>
      </rPr>
      <t xml:space="preserve">171 emergencias: 165 relacionados con árboles en riesgo o caídos y 6 incidentes relacionados con materiales peligrosos.
</t>
    </r>
    <r>
      <rPr>
        <b/>
        <sz val="8"/>
        <rFont val="Arial"/>
        <family val="2"/>
      </rPr>
      <t xml:space="preserve"> - Mayo:</t>
    </r>
    <r>
      <rPr>
        <sz val="8"/>
        <rFont val="Arial"/>
        <family val="2"/>
      </rPr>
      <t xml:space="preserve"> 88 emergencias: 85 relacionados con árboles en riesgo o caídos y 3 incidentes relacionados con materiales peligrosos.
*   Para este trimestre se articuló la atención de las emergencias con las entidades del Sistema Distrital de Gestión de Riesgos y Cambio Climático - SDGR-CC, así:
</t>
    </r>
    <r>
      <rPr>
        <b/>
        <sz val="8"/>
        <rFont val="Arial"/>
        <family val="2"/>
      </rPr>
      <t xml:space="preserve"> - Abril: </t>
    </r>
    <r>
      <rPr>
        <sz val="8"/>
        <rFont val="Arial"/>
        <family val="2"/>
      </rPr>
      <t xml:space="preserve">40 emergencias que requirieron apoyo de UAESP, CODENSA y EAB-ESP.
</t>
    </r>
    <r>
      <rPr>
        <b/>
        <sz val="8"/>
        <rFont val="Arial"/>
        <family val="2"/>
      </rPr>
      <t xml:space="preserve"> - Mayo:</t>
    </r>
    <r>
      <rPr>
        <sz val="8"/>
        <rFont val="Arial"/>
        <family val="2"/>
      </rPr>
      <t xml:space="preserve"> 48 emergencias que requirieron apoyo de EAB-ESP, UAECOB, UAESP y CODENSA.</t>
    </r>
  </si>
  <si>
    <t>Mayo 31 de 2016</t>
  </si>
  <si>
    <t>4, Variable</t>
  </si>
  <si>
    <t>5, Programación-Actualización</t>
  </si>
  <si>
    <t>6. ACTUALIZACIÓN VIGENCIA 2016</t>
  </si>
  <si>
    <t>7. SEGUIMIENTO VIGENCIA _____</t>
  </si>
  <si>
    <t>9.7 LOGROS</t>
  </si>
  <si>
    <t>Enero</t>
  </si>
  <si>
    <t>Febrero</t>
  </si>
  <si>
    <t>Marzo</t>
  </si>
  <si>
    <t>Abril</t>
  </si>
  <si>
    <t>Mayo</t>
  </si>
  <si>
    <t>Junio</t>
  </si>
  <si>
    <t>Julio</t>
  </si>
  <si>
    <t>Agosto</t>
  </si>
  <si>
    <t>Septiembre</t>
  </si>
  <si>
    <t>Octubre</t>
  </si>
  <si>
    <t>Noviembre</t>
  </si>
  <si>
    <t>Diciembre</t>
  </si>
  <si>
    <t>CÓDIGO</t>
  </si>
  <si>
    <t>LOCALIZACION</t>
  </si>
  <si>
    <t>GRUPO ETAREO</t>
  </si>
  <si>
    <t>CONDICION POBLACIONAL</t>
  </si>
  <si>
    <t>GRUPOS ETNICOS</t>
  </si>
  <si>
    <t>Parque Ecológico Distrital de Humedal</t>
  </si>
  <si>
    <t>Niños y niñas de primera infancia</t>
  </si>
  <si>
    <t>Teusaquillo</t>
  </si>
  <si>
    <t>Niños, niñas y adolescentes desescolarizados</t>
  </si>
  <si>
    <t>Los Martires</t>
  </si>
  <si>
    <t>Niños, niñas y adolescentes en riesgo social vinculacion temprana al trabajo o acompañamiento</t>
  </si>
  <si>
    <t>GESTIONAR  331,13 HECTÁREAS DE LAS ZONAS DE RONDA HIDRÁULICA Y/O ZONAS DE MANEJO Y PROTECCIÓN AMBIENTAL - ZMPA DE TRAMOS DE  HUMEDALES, PARA SU RECUPERACIÓN, REHABILITACIÓN Y/O RESTAURACIÓN.</t>
  </si>
  <si>
    <t xml:space="preserve">Parque Ecológico Distrital de Humedal Humedal Tunjo </t>
  </si>
  <si>
    <t>Parque Ecológico Distrital Salitre</t>
  </si>
  <si>
    <t xml:space="preserve">PEDH en la Subcuenca Torca </t>
  </si>
  <si>
    <t>Usaquen, Suba, Engativa</t>
  </si>
  <si>
    <t xml:space="preserve">Humedales de Torca, Guaymaral y Conejera, </t>
  </si>
  <si>
    <t>PEDH en la Subcuenca Tunjuelo</t>
  </si>
  <si>
    <t>PEDH en la Subcuenca Fucha</t>
  </si>
  <si>
    <t>PEDH en la Subcuenca Salitre</t>
  </si>
  <si>
    <t>Río Tunjuelo en el sector de Boitá.  Jackeline y Villa del Río</t>
  </si>
  <si>
    <t>Corabastos</t>
  </si>
  <si>
    <t>137,93 (133,76)</t>
  </si>
  <si>
    <t>Reserva Forestal Thomas van Der Hammen/cerro de Torca</t>
  </si>
  <si>
    <t>Reserva Forestal Thomas van Der Hammen</t>
  </si>
  <si>
    <t>UPZ 39 Quiroga</t>
  </si>
  <si>
    <t>El Inglés</t>
  </si>
  <si>
    <t xml:space="preserve"> Canal Río Seco, </t>
  </si>
  <si>
    <t xml:space="preserve">Microcuenca de la quebrada Hoya del Güira, afluente de la quebrada Chiguaza </t>
  </si>
  <si>
    <t>Vulnerable a los impactos ambientales</t>
  </si>
  <si>
    <t>Se continuó el proceso de recuperación ecológica de Nueva Esperanza y Altos de la Estancia, que se venía adelantando años atrás y se iniciaron acciones de recuperación en nuevos sectores.</t>
  </si>
  <si>
    <t>UPZ 53 Marco Fidel Suarez</t>
  </si>
  <si>
    <t>Granjas de San Pablo</t>
  </si>
  <si>
    <t>UPZ 54 Marruecos</t>
  </si>
  <si>
    <t>El Socorro III, Playón - Playita y Villas del Recuerdo.</t>
  </si>
  <si>
    <t>UPZ 55 Diana Turbay</t>
  </si>
  <si>
    <t>Diana Turbay, Rincón del Valle y Parque Ecológico Distrital de Montaña Entrenubes - PEDEN</t>
  </si>
  <si>
    <t>Nueva Esperanza, El Portal-La Paz, Los Puentes, San Martín - La Cumbre</t>
  </si>
  <si>
    <t>Bella Flor
Brisas del Volador</t>
  </si>
  <si>
    <t xml:space="preserve">Bella Flor Sector 1 Y 2; Brisas del Volador </t>
  </si>
  <si>
    <t xml:space="preserve">Altos de Estancia y Caracolí
</t>
  </si>
  <si>
    <t>Quebradas Carbonera, Rosales o Santo Domingo y 
Santa Rita</t>
  </si>
  <si>
    <t>Total recursos vigencia</t>
  </si>
  <si>
    <t>Total recursos reservas</t>
  </si>
  <si>
    <t>Total  Recursos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</si>
</sst>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_([$$-240A]\ * #,##0_);_([$$-240A]\ * \(#,##0\);_([$$-240A]\ * &quot;-&quot;??_);_(@_)"/>
    <numFmt numFmtId="172" formatCode="_ * #,##0_ ;_ * \-#,##0_ ;_ * &quot;-&quot;??_ ;_ @_ "/>
    <numFmt numFmtId="173" formatCode="_(&quot;$&quot;* #,##0.00_);_(&quot;$&quot;* \(#,##0.00\);_(&quot;$&quot;* &quot;-&quot;??_);_(@_)"/>
    <numFmt numFmtId="174" formatCode="_-* #,##0\ _€_-;\-* #,##0\ _€_-;_-* &quot;-&quot;??\ _€_-;_-@_-"/>
    <numFmt numFmtId="175" formatCode="_(* #,##0_);_(* \(#,##0\);_(* &quot;-&quot;??_);_(@_)"/>
    <numFmt numFmtId="176" formatCode="0.000"/>
    <numFmt numFmtId="177" formatCode="_-* #,##0.0\ _€_-;\-* #,##0.0\ _€_-;_-* &quot;-&quot;??\ _€_-;_-@_-"/>
    <numFmt numFmtId="178" formatCode="#,##0.0"/>
    <numFmt numFmtId="179" formatCode="_(&quot;$&quot;\ * #,##0_);_(&quot;$&quot;\ * \(#,##0\);_(&quot;$&quot;\ * &quot;-&quot;??_);_(@_)"/>
    <numFmt numFmtId="180" formatCode="[$$-240A]\ #,##0.0"/>
    <numFmt numFmtId="181" formatCode="#,##0.000"/>
    <numFmt numFmtId="182" formatCode="#,##0.0000"/>
    <numFmt numFmtId="183" formatCode="0.0%"/>
    <numFmt numFmtId="184" formatCode="_(&quot;$&quot;* #,##0_);_(&quot;$&quot;* \(#,##0\);_(&quot;$&quot;* &quot;-&quot;??_);_(@_)"/>
  </numFmts>
  <fonts count="4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sz val="9"/>
      <color indexed="81"/>
      <name val="Tahoma"/>
      <family val="2"/>
    </font>
    <font>
      <b/>
      <sz val="8"/>
      <name val="Arial"/>
      <family val="2"/>
    </font>
    <font>
      <sz val="7"/>
      <name val="Arial"/>
      <family val="2"/>
    </font>
    <font>
      <b/>
      <sz val="12"/>
      <name val="Tahoma"/>
      <family val="2"/>
    </font>
    <font>
      <sz val="8"/>
      <color indexed="8"/>
      <name val="Arial"/>
      <family val="2"/>
    </font>
    <font>
      <b/>
      <sz val="18"/>
      <name val="Arial"/>
      <family val="2"/>
    </font>
    <font>
      <sz val="11"/>
      <color theme="1"/>
      <name val="Calibri"/>
      <family val="2"/>
      <scheme val="minor"/>
    </font>
    <font>
      <sz val="10"/>
      <color theme="1"/>
      <name val="Calibri"/>
      <family val="2"/>
      <scheme val="minor"/>
    </font>
    <font>
      <sz val="8"/>
      <color theme="1"/>
      <name val="Arial"/>
      <family val="2"/>
    </font>
    <font>
      <sz val="11"/>
      <color theme="1"/>
      <name val="Arial Narrow"/>
      <family val="2"/>
    </font>
    <font>
      <sz val="12"/>
      <color theme="1"/>
      <name val="Arial"/>
      <family val="2"/>
    </font>
    <font>
      <sz val="11"/>
      <color theme="1"/>
      <name val="Arial"/>
      <family val="2"/>
    </font>
    <font>
      <sz val="9"/>
      <name val="Arial"/>
      <family val="2"/>
    </font>
    <font>
      <sz val="11"/>
      <name val="Calibri"/>
      <family val="2"/>
      <scheme val="minor"/>
    </font>
    <font>
      <sz val="10"/>
      <color indexed="8"/>
      <name val="Arial"/>
      <family val="2"/>
    </font>
    <font>
      <sz val="8"/>
      <color rgb="FFFF0000"/>
      <name val="Arial"/>
      <family val="2"/>
    </font>
    <font>
      <sz val="11"/>
      <color rgb="FF000000"/>
      <name val="Calibri"/>
      <family val="2"/>
      <scheme val="minor"/>
    </font>
    <font>
      <b/>
      <sz val="11"/>
      <name val="Arial"/>
      <family val="2"/>
    </font>
    <font>
      <sz val="9"/>
      <name val="Calibri"/>
      <family val="2"/>
      <scheme val="minor"/>
    </font>
    <font>
      <b/>
      <sz val="10"/>
      <name val="Calibri"/>
      <family val="2"/>
      <scheme val="minor"/>
    </font>
    <font>
      <b/>
      <sz val="9"/>
      <color theme="1"/>
      <name val="Arial"/>
      <family val="2"/>
    </font>
    <font>
      <b/>
      <sz val="9"/>
      <name val="Arial"/>
      <family val="2"/>
    </font>
    <font>
      <sz val="10"/>
      <name val="Calibri"/>
      <family val="2"/>
      <scheme val="minor"/>
    </font>
    <font>
      <sz val="11"/>
      <name val="Arial Narrow"/>
      <family val="2"/>
    </font>
    <font>
      <b/>
      <u/>
      <sz val="10"/>
      <name val="Calibri"/>
      <family val="2"/>
      <scheme val="minor"/>
    </font>
    <font>
      <sz val="7"/>
      <name val="Calibri"/>
      <family val="2"/>
      <scheme val="minor"/>
    </font>
    <font>
      <b/>
      <sz val="7"/>
      <name val="Arial"/>
      <family val="2"/>
    </font>
    <font>
      <b/>
      <sz val="11"/>
      <color indexed="8"/>
      <name val="Arial"/>
      <family val="2"/>
    </font>
    <font>
      <b/>
      <sz val="10"/>
      <color indexed="8"/>
      <name val="Arial"/>
      <family val="2"/>
    </font>
    <font>
      <b/>
      <sz val="9"/>
      <color indexed="8"/>
      <name val="Arial"/>
      <family val="2"/>
    </font>
    <font>
      <sz val="9"/>
      <color indexed="8"/>
      <name val="Arial"/>
      <family val="2"/>
    </font>
    <font>
      <b/>
      <sz val="8"/>
      <color indexed="8"/>
      <name val="Arial"/>
      <family val="2"/>
    </font>
    <font>
      <sz val="10"/>
      <color rgb="FFFF000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9"/>
        <bgColor indexed="64"/>
      </patternFill>
    </fill>
    <fill>
      <patternFill patternType="solid">
        <fgColor rgb="FF669900"/>
        <bgColor indexed="64"/>
      </patternFill>
    </fill>
    <fill>
      <patternFill patternType="solid">
        <fgColor rgb="FF00B05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top/>
      <bottom style="medium">
        <color theme="1"/>
      </bottom>
      <diagonal/>
    </border>
    <border>
      <left style="medium">
        <color indexed="64"/>
      </left>
      <right style="thin">
        <color indexed="64"/>
      </right>
      <top/>
      <bottom style="medium">
        <color indexed="64"/>
      </bottom>
      <diagonal/>
    </border>
    <border>
      <left style="thin">
        <color indexed="64"/>
      </left>
      <right style="medium">
        <color indexed="64"/>
      </right>
      <top style="medium">
        <color theme="1"/>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s>
  <cellStyleXfs count="32">
    <xf numFmtId="0" fontId="0" fillId="0" borderId="0"/>
    <xf numFmtId="169" fontId="9" fillId="0" borderId="0" applyFont="0" applyFill="0" applyBorder="0" applyAlignment="0" applyProtection="0"/>
    <xf numFmtId="169" fontId="4" fillId="0" borderId="0" applyFont="0" applyFill="0" applyBorder="0" applyAlignment="0" applyProtection="0"/>
    <xf numFmtId="167" fontId="6" fillId="0" borderId="0" applyFont="0" applyFill="0" applyBorder="0" applyAlignment="0" applyProtection="0"/>
    <xf numFmtId="165" fontId="2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1" fillId="0" borderId="0" applyFont="0" applyFill="0" applyBorder="0" applyAlignment="0" applyProtection="0"/>
    <xf numFmtId="173" fontId="13"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4" fillId="0" borderId="0"/>
    <xf numFmtId="165" fontId="2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0" fontId="4" fillId="0" borderId="0"/>
  </cellStyleXfs>
  <cellXfs count="946">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22" fillId="0" borderId="0" xfId="0" applyFont="1"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0" fillId="3" borderId="0" xfId="0" applyFill="1" applyAlignment="1">
      <alignment horizontal="center"/>
    </xf>
    <xf numFmtId="0" fontId="7" fillId="0" borderId="1" xfId="0" applyFont="1" applyBorder="1" applyAlignment="1">
      <alignment horizontal="center" vertical="center"/>
    </xf>
    <xf numFmtId="0" fontId="0" fillId="0" borderId="0" xfId="0" applyFill="1" applyAlignment="1">
      <alignment horizontal="center"/>
    </xf>
    <xf numFmtId="0" fontId="12" fillId="0" borderId="0" xfId="0" applyFont="1" applyFill="1"/>
    <xf numFmtId="174"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0" fontId="2" fillId="4" borderId="1" xfId="16" applyFont="1" applyFill="1" applyBorder="1" applyAlignment="1">
      <alignment horizontal="left" vertical="center" wrapText="1"/>
    </xf>
    <xf numFmtId="0" fontId="24" fillId="0" borderId="0" xfId="0" applyFont="1" applyFill="1" applyAlignment="1">
      <alignment horizontal="center" vertical="center"/>
    </xf>
    <xf numFmtId="0" fontId="5" fillId="3" borderId="25"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25" fillId="3" borderId="25" xfId="0" applyFont="1" applyFill="1" applyBorder="1"/>
    <xf numFmtId="0" fontId="25" fillId="3" borderId="0" xfId="0" applyFont="1" applyFill="1" applyBorder="1"/>
    <xf numFmtId="0" fontId="25" fillId="3" borderId="0" xfId="0" applyFont="1" applyFill="1" applyBorder="1" applyAlignment="1">
      <alignment horizontal="center"/>
    </xf>
    <xf numFmtId="0" fontId="25" fillId="3" borderId="26" xfId="0" applyFont="1" applyFill="1" applyBorder="1"/>
    <xf numFmtId="0" fontId="2" fillId="4" borderId="4" xfId="16" applyFont="1" applyFill="1" applyBorder="1" applyAlignment="1">
      <alignment horizontal="left" vertical="center" wrapText="1"/>
    </xf>
    <xf numFmtId="0" fontId="7" fillId="0" borderId="0" xfId="0" applyFont="1" applyFill="1"/>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0" fillId="0" borderId="0" xfId="0" applyFill="1" applyAlignment="1">
      <alignment wrapText="1"/>
    </xf>
    <xf numFmtId="0" fontId="5" fillId="5" borderId="2"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xf>
    <xf numFmtId="3" fontId="0" fillId="0" borderId="0" xfId="0" applyNumberFormat="1" applyFill="1" applyBorder="1"/>
    <xf numFmtId="0" fontId="7" fillId="6" borderId="0" xfId="0" applyFont="1" applyFill="1"/>
    <xf numFmtId="0" fontId="4" fillId="0" borderId="0" xfId="0" applyFont="1" applyFill="1" applyBorder="1"/>
    <xf numFmtId="0" fontId="12" fillId="0" borderId="0" xfId="0" applyFont="1" applyFill="1" applyBorder="1"/>
    <xf numFmtId="0" fontId="5" fillId="0" borderId="0" xfId="0" applyFont="1" applyFill="1" applyBorder="1" applyAlignment="1">
      <alignment horizontal="center"/>
    </xf>
    <xf numFmtId="171" fontId="0" fillId="0" borderId="0" xfId="0" applyNumberFormat="1" applyFill="1" applyBorder="1"/>
    <xf numFmtId="174" fontId="5" fillId="0" borderId="0" xfId="3" applyNumberFormat="1" applyFont="1" applyFill="1" applyBorder="1" applyAlignment="1">
      <alignment horizontal="center"/>
    </xf>
    <xf numFmtId="0" fontId="0" fillId="0" borderId="0" xfId="0" applyFill="1" applyBorder="1" applyAlignment="1">
      <alignment wrapText="1"/>
    </xf>
    <xf numFmtId="0" fontId="4" fillId="0" borderId="0" xfId="0" applyFont="1" applyFill="1" applyBorder="1" applyAlignment="1">
      <alignment wrapText="1"/>
    </xf>
    <xf numFmtId="0" fontId="12" fillId="0" borderId="0" xfId="0" applyFont="1" applyFill="1" applyBorder="1" applyAlignment="1">
      <alignment wrapText="1"/>
    </xf>
    <xf numFmtId="0" fontId="11" fillId="0" borderId="0" xfId="0" applyFont="1" applyFill="1" applyBorder="1" applyAlignment="1">
      <alignment horizontal="center" wrapText="1"/>
    </xf>
    <xf numFmtId="0" fontId="5" fillId="0" borderId="0" xfId="0" applyFont="1" applyFill="1" applyBorder="1" applyAlignment="1">
      <alignment horizontal="center" wrapText="1"/>
    </xf>
    <xf numFmtId="3" fontId="31" fillId="0" borderId="0" xfId="0" applyNumberFormat="1" applyFont="1" applyBorder="1" applyAlignment="1">
      <alignment wrapText="1"/>
    </xf>
    <xf numFmtId="3" fontId="26" fillId="0" borderId="0" xfId="0" applyNumberFormat="1" applyFont="1" applyBorder="1" applyAlignment="1">
      <alignment horizontal="center"/>
    </xf>
    <xf numFmtId="10" fontId="5" fillId="0" borderId="0" xfId="21" applyNumberFormat="1" applyFont="1" applyFill="1" applyBorder="1" applyAlignment="1">
      <alignment horizontal="center" wrapText="1"/>
    </xf>
    <xf numFmtId="0" fontId="0" fillId="0" borderId="0" xfId="0" applyFill="1" applyBorder="1" applyAlignment="1">
      <alignment horizontal="center" wrapText="1"/>
    </xf>
    <xf numFmtId="37" fontId="0" fillId="0" borderId="0" xfId="0" applyNumberFormat="1" applyFill="1" applyBorder="1" applyAlignment="1">
      <alignment wrapText="1"/>
    </xf>
    <xf numFmtId="174" fontId="0" fillId="0" borderId="0" xfId="0" applyNumberFormat="1" applyFill="1" applyBorder="1"/>
    <xf numFmtId="0" fontId="25" fillId="0" borderId="1" xfId="0" applyFont="1" applyFill="1" applyBorder="1" applyAlignment="1">
      <alignment horizontal="justify" vertical="center" wrapText="1"/>
    </xf>
    <xf numFmtId="3" fontId="31" fillId="0" borderId="0" xfId="0" applyNumberFormat="1" applyFont="1" applyFill="1" applyBorder="1" applyAlignment="1">
      <alignment wrapText="1"/>
    </xf>
    <xf numFmtId="3" fontId="26" fillId="0" borderId="0" xfId="0" applyNumberFormat="1" applyFont="1" applyFill="1" applyBorder="1" applyAlignment="1">
      <alignment horizontal="center"/>
    </xf>
    <xf numFmtId="171" fontId="19" fillId="0" borderId="1" xfId="10" applyNumberFormat="1" applyFont="1" applyFill="1" applyBorder="1" applyAlignment="1">
      <alignment horizontal="center" vertical="center" wrapText="1"/>
    </xf>
    <xf numFmtId="3" fontId="19" fillId="0" borderId="1" xfId="19" applyNumberFormat="1" applyFont="1" applyFill="1" applyBorder="1" applyAlignment="1">
      <alignment horizontal="center" vertical="center" wrapText="1"/>
    </xf>
    <xf numFmtId="177" fontId="5" fillId="0" borderId="1" xfId="28" applyNumberFormat="1" applyFont="1" applyFill="1" applyBorder="1" applyAlignment="1">
      <alignment horizontal="left" vertical="center"/>
    </xf>
    <xf numFmtId="4" fontId="3" fillId="3" borderId="3" xfId="0" applyNumberFormat="1" applyFont="1" applyFill="1" applyBorder="1" applyAlignment="1">
      <alignment horizontal="center" vertical="center" wrapText="1"/>
    </xf>
    <xf numFmtId="4" fontId="3" fillId="3" borderId="1" xfId="10" applyNumberFormat="1" applyFont="1" applyFill="1" applyBorder="1" applyAlignment="1">
      <alignment horizontal="center" vertical="center"/>
    </xf>
    <xf numFmtId="4" fontId="32" fillId="3" borderId="1" xfId="10" applyNumberFormat="1" applyFont="1" applyFill="1" applyBorder="1" applyAlignment="1">
      <alignment horizontal="center" vertical="center" wrapText="1"/>
    </xf>
    <xf numFmtId="4" fontId="32" fillId="3" borderId="4" xfId="1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4" fontId="3" fillId="3" borderId="1" xfId="10" applyNumberFormat="1" applyFont="1" applyFill="1" applyBorder="1" applyAlignment="1">
      <alignment horizontal="center" vertical="center" wrapText="1"/>
    </xf>
    <xf numFmtId="4" fontId="3" fillId="3" borderId="3" xfId="10" applyNumberFormat="1" applyFont="1" applyFill="1" applyBorder="1" applyAlignment="1">
      <alignment horizontal="center" vertical="center" wrapText="1"/>
    </xf>
    <xf numFmtId="181" fontId="3" fillId="3" borderId="1" xfId="10" applyNumberFormat="1" applyFont="1" applyFill="1" applyBorder="1" applyAlignment="1">
      <alignment horizontal="center" vertical="center"/>
    </xf>
    <xf numFmtId="4" fontId="3" fillId="3" borderId="4" xfId="10" applyNumberFormat="1" applyFont="1" applyFill="1" applyBorder="1" applyAlignment="1">
      <alignment horizontal="center" vertical="center" wrapText="1"/>
    </xf>
    <xf numFmtId="4" fontId="32" fillId="3" borderId="4" xfId="10" applyNumberFormat="1" applyFont="1" applyFill="1" applyBorder="1" applyAlignment="1">
      <alignment horizontal="center" vertical="center" wrapText="1"/>
    </xf>
    <xf numFmtId="167" fontId="5" fillId="0" borderId="21" xfId="28" applyNumberFormat="1" applyFont="1" applyFill="1" applyBorder="1" applyAlignment="1">
      <alignment horizontal="left" vertical="center"/>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4" fontId="19" fillId="0" borderId="1" xfId="19" applyNumberFormat="1" applyFont="1" applyFill="1" applyBorder="1" applyAlignment="1">
      <alignment horizontal="center" vertical="center" wrapText="1"/>
    </xf>
    <xf numFmtId="170" fontId="12" fillId="0" borderId="1" xfId="26"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0" borderId="1" xfId="0" applyFont="1" applyBorder="1" applyAlignment="1">
      <alignment horizontal="center" vertical="center"/>
    </xf>
    <xf numFmtId="0" fontId="2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174" fontId="5" fillId="0" borderId="1" xfId="3" applyNumberFormat="1" applyFont="1" applyFill="1" applyBorder="1" applyAlignment="1">
      <alignment vertical="center"/>
    </xf>
    <xf numFmtId="167" fontId="5" fillId="0" borderId="1" xfId="3" applyNumberFormat="1" applyFont="1" applyFill="1" applyBorder="1" applyAlignment="1">
      <alignment horizontal="left" vertical="center"/>
    </xf>
    <xf numFmtId="167" fontId="5" fillId="0" borderId="1" xfId="3" applyNumberFormat="1" applyFont="1" applyFill="1" applyBorder="1" applyAlignment="1">
      <alignment vertical="center"/>
    </xf>
    <xf numFmtId="174" fontId="5" fillId="0" borderId="1" xfId="3" applyNumberFormat="1" applyFont="1" applyFill="1" applyBorder="1" applyAlignment="1">
      <alignment horizontal="left" vertical="center"/>
    </xf>
    <xf numFmtId="177" fontId="5" fillId="0" borderId="1" xfId="3" applyNumberFormat="1" applyFont="1" applyFill="1" applyBorder="1" applyAlignment="1">
      <alignment vertical="center"/>
    </xf>
    <xf numFmtId="167" fontId="5" fillId="0" borderId="36" xfId="28" applyNumberFormat="1" applyFont="1" applyFill="1" applyBorder="1" applyAlignment="1">
      <alignment horizontal="left" vertical="center"/>
    </xf>
    <xf numFmtId="2" fontId="5" fillId="0" borderId="5" xfId="0" applyNumberFormat="1" applyFont="1" applyFill="1" applyBorder="1" applyAlignment="1">
      <alignment horizontal="center" vertical="center" wrapText="1"/>
    </xf>
    <xf numFmtId="174" fontId="5" fillId="0" borderId="1" xfId="28" applyNumberFormat="1" applyFont="1" applyFill="1" applyBorder="1" applyAlignment="1">
      <alignment horizontal="left" vertical="center"/>
    </xf>
    <xf numFmtId="167" fontId="5" fillId="0" borderId="50" xfId="28" applyNumberFormat="1" applyFont="1" applyFill="1" applyBorder="1" applyAlignment="1">
      <alignment horizontal="left" vertical="center"/>
    </xf>
    <xf numFmtId="167" fontId="5" fillId="0" borderId="5" xfId="28" applyNumberFormat="1" applyFont="1" applyFill="1" applyBorder="1" applyAlignment="1">
      <alignment horizontal="left" vertical="center"/>
    </xf>
    <xf numFmtId="174" fontId="5" fillId="0" borderId="1" xfId="28" applyNumberFormat="1" applyFont="1" applyFill="1" applyBorder="1" applyAlignment="1">
      <alignment vertical="center"/>
    </xf>
    <xf numFmtId="2" fontId="5" fillId="0" borderId="7" xfId="0" applyNumberFormat="1" applyFont="1" applyFill="1" applyBorder="1" applyAlignment="1">
      <alignment horizontal="center" vertical="center" wrapText="1"/>
    </xf>
    <xf numFmtId="167" fontId="5" fillId="0" borderId="1" xfId="28" applyNumberFormat="1" applyFont="1" applyFill="1" applyBorder="1" applyAlignment="1">
      <alignment horizontal="left" vertical="center"/>
    </xf>
    <xf numFmtId="0" fontId="5" fillId="0" borderId="7" xfId="0" applyFont="1" applyFill="1" applyBorder="1" applyAlignment="1">
      <alignment horizontal="center" vertical="center" wrapText="1"/>
    </xf>
    <xf numFmtId="177" fontId="5" fillId="0" borderId="1" xfId="3" applyNumberFormat="1" applyFont="1" applyFill="1" applyBorder="1" applyAlignment="1">
      <alignment horizontal="left" vertical="center"/>
    </xf>
    <xf numFmtId="174" fontId="5" fillId="0" borderId="5" xfId="28" applyNumberFormat="1" applyFont="1" applyFill="1" applyBorder="1" applyAlignment="1">
      <alignment horizontal="left" vertical="center"/>
    </xf>
    <xf numFmtId="170" fontId="30" fillId="0" borderId="1" xfId="26" applyNumberFormat="1" applyFont="1" applyFill="1" applyBorder="1" applyAlignment="1">
      <alignment horizontal="center" vertical="center" wrapText="1"/>
    </xf>
    <xf numFmtId="170" fontId="30" fillId="0" borderId="1" xfId="26"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3" fillId="3" borderId="1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2" fontId="5" fillId="3" borderId="1" xfId="0" applyNumberFormat="1" applyFont="1" applyFill="1" applyBorder="1" applyAlignment="1">
      <alignment horizontal="center" vertical="center" wrapText="1"/>
    </xf>
    <xf numFmtId="10" fontId="5" fillId="3" borderId="1" xfId="29" applyNumberFormat="1" applyFont="1" applyFill="1" applyBorder="1" applyAlignment="1">
      <alignment horizontal="center" vertical="center" wrapText="1"/>
    </xf>
    <xf numFmtId="10" fontId="5" fillId="3" borderId="1" xfId="21" applyNumberFormat="1" applyFont="1" applyFill="1" applyBorder="1" applyAlignment="1">
      <alignment vertical="center"/>
    </xf>
    <xf numFmtId="0" fontId="5" fillId="3" borderId="3" xfId="0" applyFont="1" applyFill="1" applyBorder="1" applyAlignment="1">
      <alignment horizontal="left" vertical="top" wrapText="1"/>
    </xf>
    <xf numFmtId="0" fontId="5" fillId="3" borderId="3" xfId="0" applyFont="1" applyFill="1" applyBorder="1" applyAlignment="1">
      <alignment horizontal="left" vertical="center" wrapText="1"/>
    </xf>
    <xf numFmtId="0" fontId="5" fillId="3" borderId="10" xfId="0" applyFont="1" applyFill="1" applyBorder="1" applyAlignment="1">
      <alignment horizontal="left" vertical="center" wrapText="1"/>
    </xf>
    <xf numFmtId="9" fontId="5" fillId="3" borderId="1" xfId="21" applyFont="1" applyFill="1" applyBorder="1" applyAlignment="1">
      <alignment horizontal="center" vertical="center" wrapText="1"/>
    </xf>
    <xf numFmtId="0" fontId="5" fillId="3" borderId="11" xfId="0" applyFont="1" applyFill="1" applyBorder="1" applyAlignment="1">
      <alignment horizontal="left" vertical="center" wrapText="1"/>
    </xf>
    <xf numFmtId="10" fontId="5" fillId="3" borderId="1" xfId="21" applyNumberFormat="1" applyFont="1" applyFill="1" applyBorder="1" applyAlignment="1">
      <alignment horizontal="center" vertical="center" wrapText="1"/>
    </xf>
    <xf numFmtId="2" fontId="5"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32" fillId="3" borderId="1" xfId="0" applyFont="1" applyFill="1" applyBorder="1" applyAlignment="1">
      <alignment horizontal="justify" vertical="center" wrapText="1"/>
    </xf>
    <xf numFmtId="10" fontId="5" fillId="3" borderId="21" xfId="21" applyNumberFormat="1" applyFont="1" applyFill="1" applyBorder="1" applyAlignment="1">
      <alignment vertical="center"/>
    </xf>
    <xf numFmtId="176" fontId="5" fillId="3" borderId="7" xfId="0" applyNumberFormat="1" applyFont="1" applyFill="1" applyBorder="1" applyAlignment="1">
      <alignment horizontal="center" vertical="center" wrapText="1"/>
    </xf>
    <xf numFmtId="0" fontId="3" fillId="3" borderId="1" xfId="0" applyFont="1" applyFill="1" applyBorder="1" applyAlignment="1">
      <alignment horizontal="justify" vertical="top" wrapText="1"/>
    </xf>
    <xf numFmtId="2" fontId="3" fillId="3" borderId="1" xfId="0" applyNumberFormat="1"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12" xfId="0" applyFont="1" applyFill="1" applyBorder="1" applyAlignment="1">
      <alignment horizontal="left" vertical="center" wrapText="1"/>
    </xf>
    <xf numFmtId="167" fontId="3" fillId="3" borderId="1" xfId="28" applyFont="1" applyFill="1" applyBorder="1" applyAlignment="1">
      <alignment vertical="center"/>
    </xf>
    <xf numFmtId="0" fontId="3" fillId="3" borderId="1" xfId="0" applyFont="1" applyFill="1" applyBorder="1" applyAlignment="1">
      <alignment horizontal="center" vertical="center"/>
    </xf>
    <xf numFmtId="167" fontId="3" fillId="3" borderId="1" xfId="0" applyNumberFormat="1" applyFont="1" applyFill="1" applyBorder="1" applyAlignment="1">
      <alignment horizontal="center" vertical="center"/>
    </xf>
    <xf numFmtId="0" fontId="19" fillId="0" borderId="19" xfId="19" applyFont="1" applyFill="1" applyBorder="1" applyAlignment="1">
      <alignment horizontal="center" vertical="center" wrapText="1"/>
    </xf>
    <xf numFmtId="0" fontId="12" fillId="0" borderId="1" xfId="26" applyFont="1" applyFill="1" applyBorder="1" applyAlignment="1">
      <alignment horizontal="center" vertical="center" wrapText="1"/>
    </xf>
    <xf numFmtId="3" fontId="27" fillId="3" borderId="1" xfId="10" applyNumberFormat="1" applyFont="1" applyFill="1" applyBorder="1" applyAlignment="1">
      <alignment horizontal="center" vertical="center" wrapText="1"/>
    </xf>
    <xf numFmtId="0" fontId="17" fillId="3" borderId="3" xfId="0" applyFont="1" applyFill="1" applyBorder="1" applyAlignment="1" applyProtection="1">
      <alignment horizontal="left" vertical="center" wrapText="1"/>
      <protection locked="0"/>
    </xf>
    <xf numFmtId="4" fontId="3" fillId="3" borderId="7" xfId="0" applyNumberFormat="1" applyFont="1" applyFill="1" applyBorder="1" applyAlignment="1">
      <alignment horizontal="center" vertical="center" wrapText="1"/>
    </xf>
    <xf numFmtId="10" fontId="28" fillId="3" borderId="3" xfId="21" applyNumberFormat="1" applyFont="1" applyFill="1" applyBorder="1" applyAlignment="1">
      <alignment horizontal="center" vertical="center"/>
    </xf>
    <xf numFmtId="10" fontId="33" fillId="3" borderId="3" xfId="21" applyNumberFormat="1" applyFont="1" applyFill="1" applyBorder="1" applyAlignment="1">
      <alignment horizontal="center" vertical="center"/>
    </xf>
    <xf numFmtId="0" fontId="17" fillId="3" borderId="1" xfId="0" applyFont="1" applyFill="1" applyBorder="1" applyAlignment="1" applyProtection="1">
      <alignment horizontal="left" vertical="center" wrapText="1"/>
      <protection locked="0"/>
    </xf>
    <xf numFmtId="4" fontId="3" fillId="3" borderId="1" xfId="0" applyNumberFormat="1" applyFont="1" applyFill="1" applyBorder="1" applyAlignment="1">
      <alignment horizontal="center" vertical="center" wrapText="1"/>
    </xf>
    <xf numFmtId="10" fontId="28" fillId="3" borderId="1" xfId="21" applyNumberFormat="1" applyFont="1" applyFill="1" applyBorder="1" applyAlignment="1">
      <alignment horizontal="center" vertical="center"/>
    </xf>
    <xf numFmtId="0" fontId="3" fillId="3" borderId="7" xfId="0" applyFont="1" applyFill="1" applyBorder="1" applyAlignment="1">
      <alignment horizontal="center" vertical="center"/>
    </xf>
    <xf numFmtId="174" fontId="3" fillId="3" borderId="1" xfId="3" applyNumberFormat="1" applyFont="1" applyFill="1" applyBorder="1" applyAlignment="1">
      <alignment horizontal="center" vertical="center"/>
    </xf>
    <xf numFmtId="174" fontId="3" fillId="3" borderId="1" xfId="0" applyNumberFormat="1" applyFont="1" applyFill="1" applyBorder="1" applyAlignment="1">
      <alignment horizontal="center" vertical="center"/>
    </xf>
    <xf numFmtId="10" fontId="33" fillId="3" borderId="1" xfId="21" applyNumberFormat="1" applyFont="1" applyFill="1" applyBorder="1" applyAlignment="1">
      <alignment horizontal="center" vertical="center"/>
    </xf>
    <xf numFmtId="37" fontId="3" fillId="3" borderId="1" xfId="10" applyNumberFormat="1" applyFont="1" applyFill="1" applyBorder="1" applyAlignment="1">
      <alignment horizontal="center" vertical="center"/>
    </xf>
    <xf numFmtId="37" fontId="3" fillId="3" borderId="1" xfId="9" applyNumberFormat="1" applyFont="1" applyFill="1" applyBorder="1" applyAlignment="1">
      <alignment horizontal="center" vertical="center"/>
    </xf>
    <xf numFmtId="167" fontId="3" fillId="3" borderId="1" xfId="3" applyFont="1" applyFill="1" applyBorder="1" applyAlignment="1">
      <alignment horizontal="center" vertical="center"/>
    </xf>
    <xf numFmtId="0" fontId="17" fillId="3" borderId="2" xfId="0" applyFont="1" applyFill="1" applyBorder="1" applyAlignment="1" applyProtection="1">
      <alignment horizontal="left" vertical="center" wrapText="1"/>
      <protection locked="0"/>
    </xf>
    <xf numFmtId="37" fontId="32" fillId="3" borderId="4" xfId="10" applyNumberFormat="1" applyFont="1" applyFill="1" applyBorder="1" applyAlignment="1">
      <alignment horizontal="center" vertical="center"/>
    </xf>
    <xf numFmtId="3" fontId="32" fillId="3" borderId="2" xfId="0" applyNumberFormat="1" applyFont="1" applyFill="1" applyBorder="1" applyAlignment="1">
      <alignment horizontal="center" vertical="center"/>
    </xf>
    <xf numFmtId="10" fontId="28" fillId="3" borderId="2" xfId="21" applyNumberFormat="1" applyFont="1" applyFill="1" applyBorder="1" applyAlignment="1">
      <alignment horizontal="center" vertical="center"/>
    </xf>
    <xf numFmtId="10" fontId="33" fillId="3" borderId="2" xfId="21" applyNumberFormat="1" applyFont="1" applyFill="1" applyBorder="1" applyAlignment="1">
      <alignment horizontal="center" vertical="center"/>
    </xf>
    <xf numFmtId="3" fontId="36" fillId="3" borderId="3" xfId="0" applyNumberFormat="1" applyFont="1" applyFill="1" applyBorder="1" applyAlignment="1">
      <alignment horizontal="center" vertical="center" wrapText="1"/>
    </xf>
    <xf numFmtId="3" fontId="3" fillId="3" borderId="53"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xf>
    <xf numFmtId="37" fontId="3" fillId="3" borderId="7" xfId="10" applyNumberFormat="1" applyFont="1" applyFill="1" applyBorder="1" applyAlignment="1">
      <alignment horizontal="center" vertical="center"/>
    </xf>
    <xf numFmtId="3" fontId="36" fillId="3" borderId="5" xfId="0" applyNumberFormat="1" applyFont="1" applyFill="1" applyBorder="1" applyAlignment="1">
      <alignment horizontal="center" vertical="center" wrapText="1"/>
    </xf>
    <xf numFmtId="3" fontId="32" fillId="3" borderId="39" xfId="0" applyNumberFormat="1" applyFont="1" applyFill="1" applyBorder="1" applyAlignment="1">
      <alignment horizontal="center" vertical="center"/>
    </xf>
    <xf numFmtId="4" fontId="36" fillId="3" borderId="3" xfId="0" applyNumberFormat="1" applyFont="1" applyFill="1" applyBorder="1" applyAlignment="1">
      <alignment horizontal="center" vertical="center" wrapText="1"/>
    </xf>
    <xf numFmtId="4" fontId="3" fillId="3" borderId="40"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xf>
    <xf numFmtId="4" fontId="36" fillId="3" borderId="5"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xf>
    <xf numFmtId="9" fontId="3" fillId="3" borderId="40" xfId="21" applyFont="1" applyFill="1" applyBorder="1" applyAlignment="1">
      <alignment horizontal="center" vertical="center"/>
    </xf>
    <xf numFmtId="1" fontId="3" fillId="3" borderId="7" xfId="0" applyNumberFormat="1" applyFont="1" applyFill="1" applyBorder="1" applyAlignment="1">
      <alignment horizontal="center" vertical="center"/>
    </xf>
    <xf numFmtId="1" fontId="3" fillId="3" borderId="39" xfId="0" applyNumberFormat="1" applyFont="1" applyFill="1" applyBorder="1" applyAlignment="1">
      <alignment horizontal="center" vertical="center"/>
    </xf>
    <xf numFmtId="178" fontId="3" fillId="3" borderId="3" xfId="0" applyNumberFormat="1" applyFont="1" applyFill="1" applyBorder="1" applyAlignment="1">
      <alignment horizontal="center" vertical="center" wrapText="1"/>
    </xf>
    <xf numFmtId="2" fontId="3" fillId="3" borderId="40" xfId="0" applyNumberFormat="1" applyFont="1" applyFill="1" applyBorder="1" applyAlignment="1">
      <alignment horizontal="center" vertical="center"/>
    </xf>
    <xf numFmtId="2" fontId="3" fillId="3" borderId="3" xfId="0" applyNumberFormat="1" applyFont="1" applyFill="1" applyBorder="1" applyAlignment="1">
      <alignment horizontal="center" vertical="center" wrapText="1"/>
    </xf>
    <xf numFmtId="0" fontId="3" fillId="3" borderId="1" xfId="0" applyFont="1" applyFill="1" applyBorder="1" applyAlignment="1">
      <alignment horizontal="right" vertical="center"/>
    </xf>
    <xf numFmtId="2" fontId="3" fillId="3" borderId="7"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171" fontId="3" fillId="3" borderId="1" xfId="0" applyNumberFormat="1" applyFont="1" applyFill="1" applyBorder="1" applyAlignment="1">
      <alignment horizontal="center" vertical="center"/>
    </xf>
    <xf numFmtId="171" fontId="3" fillId="3" borderId="1" xfId="0" applyNumberFormat="1" applyFont="1" applyFill="1" applyBorder="1" applyAlignment="1">
      <alignment horizontal="right" vertical="center"/>
    </xf>
    <xf numFmtId="3" fontId="3" fillId="3" borderId="1" xfId="10" applyNumberFormat="1" applyFont="1" applyFill="1" applyBorder="1" applyAlignment="1">
      <alignment horizontal="center" vertical="center" wrapText="1"/>
    </xf>
    <xf numFmtId="178" fontId="3" fillId="3" borderId="1" xfId="10" applyNumberFormat="1" applyFont="1" applyFill="1" applyBorder="1" applyAlignment="1">
      <alignment horizontal="center" vertical="center" wrapText="1"/>
    </xf>
    <xf numFmtId="37" fontId="32" fillId="3" borderId="2" xfId="9" applyNumberFormat="1" applyFont="1" applyFill="1" applyBorder="1" applyAlignment="1">
      <alignment horizontal="center" vertical="center"/>
    </xf>
    <xf numFmtId="2" fontId="3" fillId="3" borderId="40" xfId="0" applyNumberFormat="1" applyFont="1" applyFill="1" applyBorder="1" applyAlignment="1">
      <alignment horizontal="center" vertical="center" wrapText="1"/>
    </xf>
    <xf numFmtId="10" fontId="28" fillId="3" borderId="3" xfId="29" applyNumberFormat="1" applyFont="1" applyFill="1" applyBorder="1" applyAlignment="1">
      <alignment horizontal="center" vertical="center"/>
    </xf>
    <xf numFmtId="174" fontId="3" fillId="3" borderId="1" xfId="3" applyNumberFormat="1" applyFont="1" applyFill="1" applyBorder="1" applyAlignment="1">
      <alignment horizontal="right" vertical="center"/>
    </xf>
    <xf numFmtId="2" fontId="3" fillId="3" borderId="7" xfId="0" applyNumberFormat="1" applyFont="1" applyFill="1" applyBorder="1" applyAlignment="1">
      <alignment horizontal="center" vertical="center" wrapText="1"/>
    </xf>
    <xf numFmtId="2" fontId="3" fillId="3" borderId="3" xfId="0" applyNumberFormat="1" applyFont="1" applyFill="1" applyBorder="1" applyAlignment="1">
      <alignment horizontal="center" vertical="center"/>
    </xf>
    <xf numFmtId="4" fontId="3" fillId="3" borderId="1" xfId="28" applyNumberFormat="1" applyFont="1" applyFill="1" applyBorder="1" applyAlignment="1">
      <alignment horizontal="right" vertical="center"/>
    </xf>
    <xf numFmtId="167" fontId="28" fillId="3" borderId="7" xfId="28" applyFont="1" applyFill="1" applyBorder="1" applyAlignment="1">
      <alignment horizontal="center" vertical="center"/>
    </xf>
    <xf numFmtId="165" fontId="3" fillId="3" borderId="1" xfId="4" applyFont="1" applyFill="1" applyBorder="1" applyAlignment="1">
      <alignment horizontal="center" vertical="center"/>
    </xf>
    <xf numFmtId="182" fontId="3" fillId="3" borderId="1" xfId="0" applyNumberFormat="1" applyFont="1" applyFill="1" applyBorder="1" applyAlignment="1">
      <alignment horizontal="right" vertical="center"/>
    </xf>
    <xf numFmtId="4" fontId="3" fillId="3" borderId="5" xfId="0" applyNumberFormat="1" applyFont="1" applyFill="1" applyBorder="1" applyAlignment="1">
      <alignment horizontal="center" vertical="center" wrapText="1"/>
    </xf>
    <xf numFmtId="2" fontId="3" fillId="3" borderId="5" xfId="0" applyNumberFormat="1" applyFont="1" applyFill="1" applyBorder="1" applyAlignment="1">
      <alignment horizontal="center" vertical="center"/>
    </xf>
    <xf numFmtId="4" fontId="32" fillId="3" borderId="2" xfId="10" applyNumberFormat="1" applyFont="1" applyFill="1" applyBorder="1" applyAlignment="1">
      <alignment horizontal="center" vertical="center"/>
    </xf>
    <xf numFmtId="0" fontId="17" fillId="3" borderId="4" xfId="0" applyFont="1" applyFill="1" applyBorder="1" applyAlignment="1" applyProtection="1">
      <alignment horizontal="left" vertical="center" wrapText="1"/>
      <protection locked="0"/>
    </xf>
    <xf numFmtId="4" fontId="3" fillId="3" borderId="4" xfId="0" applyNumberFormat="1" applyFont="1" applyFill="1" applyBorder="1" applyAlignment="1">
      <alignment horizontal="center" vertical="center"/>
    </xf>
    <xf numFmtId="0" fontId="17" fillId="3" borderId="44"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left" vertical="center" wrapText="1"/>
      <protection locked="0"/>
    </xf>
    <xf numFmtId="171" fontId="3" fillId="3" borderId="7" xfId="24" applyNumberFormat="1" applyFont="1" applyFill="1" applyBorder="1" applyAlignment="1">
      <alignment horizontal="center" vertical="center" wrapText="1"/>
    </xf>
    <xf numFmtId="182" fontId="3" fillId="3" borderId="1" xfId="10" applyNumberFormat="1" applyFont="1" applyFill="1" applyBorder="1" applyAlignment="1">
      <alignment horizontal="center" vertical="center"/>
    </xf>
    <xf numFmtId="0" fontId="17" fillId="3" borderId="34" xfId="0" applyFont="1" applyFill="1" applyBorder="1" applyAlignment="1" applyProtection="1">
      <alignment horizontal="left" vertical="center" wrapText="1"/>
      <protection locked="0"/>
    </xf>
    <xf numFmtId="174" fontId="3" fillId="3" borderId="7" xfId="28" applyNumberFormat="1" applyFont="1" applyFill="1" applyBorder="1" applyAlignment="1">
      <alignment horizontal="center" vertical="center"/>
    </xf>
    <xf numFmtId="0" fontId="17" fillId="3" borderId="15"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17" fillId="3" borderId="19" xfId="0" applyFont="1" applyFill="1" applyBorder="1" applyAlignment="1" applyProtection="1">
      <alignment horizontal="left" vertical="center" wrapText="1"/>
      <protection locked="0"/>
    </xf>
    <xf numFmtId="0" fontId="17" fillId="3" borderId="5" xfId="0" applyFont="1" applyFill="1" applyBorder="1" applyAlignment="1" applyProtection="1">
      <alignment horizontal="left" vertical="center" wrapText="1"/>
      <protection locked="0"/>
    </xf>
    <xf numFmtId="0" fontId="4" fillId="3" borderId="0" xfId="0" applyFont="1" applyFill="1" applyBorder="1"/>
    <xf numFmtId="0" fontId="12" fillId="3" borderId="0" xfId="0" applyFont="1" applyFill="1" applyBorder="1"/>
    <xf numFmtId="0" fontId="5" fillId="3" borderId="0" xfId="0" applyFont="1" applyFill="1" applyBorder="1" applyAlignment="1">
      <alignment horizontal="center"/>
    </xf>
    <xf numFmtId="37" fontId="5" fillId="3" borderId="0" xfId="0" applyNumberFormat="1" applyFont="1" applyFill="1" applyBorder="1" applyAlignment="1">
      <alignment horizontal="center"/>
    </xf>
    <xf numFmtId="17" fontId="5" fillId="3" borderId="0" xfId="0" applyNumberFormat="1" applyFont="1" applyFill="1" applyBorder="1" applyAlignment="1">
      <alignment horizontal="center"/>
    </xf>
    <xf numFmtId="174" fontId="5" fillId="3" borderId="0" xfId="3" applyNumberFormat="1" applyFont="1" applyFill="1" applyBorder="1" applyAlignment="1">
      <alignment horizontal="center"/>
    </xf>
    <xf numFmtId="10" fontId="5" fillId="3" borderId="0" xfId="21" applyNumberFormat="1" applyFont="1" applyFill="1" applyBorder="1" applyAlignment="1">
      <alignment horizontal="center"/>
    </xf>
    <xf numFmtId="3" fontId="5" fillId="3" borderId="0" xfId="0" applyNumberFormat="1" applyFont="1" applyFill="1" applyBorder="1" applyAlignment="1">
      <alignment horizontal="center"/>
    </xf>
    <xf numFmtId="174" fontId="5" fillId="3" borderId="0" xfId="0" applyNumberFormat="1" applyFont="1" applyFill="1" applyBorder="1" applyAlignment="1">
      <alignment horizontal="center"/>
    </xf>
    <xf numFmtId="3" fontId="3" fillId="3" borderId="0" xfId="0" applyNumberFormat="1" applyFont="1" applyFill="1" applyBorder="1" applyAlignment="1">
      <alignment horizontal="center"/>
    </xf>
    <xf numFmtId="170" fontId="3" fillId="3" borderId="1" xfId="0" applyNumberFormat="1" applyFont="1" applyFill="1" applyBorder="1" applyAlignment="1">
      <alignment horizontal="center" vertical="center"/>
    </xf>
    <xf numFmtId="3" fontId="32" fillId="3" borderId="1" xfId="10" applyNumberFormat="1" applyFont="1" applyFill="1" applyBorder="1" applyAlignment="1">
      <alignment horizontal="center" vertical="center" wrapText="1"/>
    </xf>
    <xf numFmtId="37" fontId="3" fillId="3" borderId="2" xfId="9" applyNumberFormat="1" applyFont="1" applyFill="1" applyBorder="1" applyAlignment="1">
      <alignment horizontal="center" vertical="center"/>
    </xf>
    <xf numFmtId="37" fontId="36" fillId="3" borderId="1" xfId="10" applyNumberFormat="1" applyFont="1" applyFill="1" applyBorder="1" applyAlignment="1">
      <alignment horizontal="center" vertical="center"/>
    </xf>
    <xf numFmtId="37" fontId="27" fillId="3" borderId="1" xfId="10" applyNumberFormat="1" applyFont="1" applyFill="1" applyBorder="1" applyAlignment="1">
      <alignment horizontal="center" vertical="center"/>
    </xf>
    <xf numFmtId="37" fontId="3" fillId="3" borderId="1" xfId="0" applyNumberFormat="1" applyFont="1" applyFill="1" applyBorder="1" applyAlignment="1">
      <alignment horizontal="right" vertical="center"/>
    </xf>
    <xf numFmtId="0" fontId="27" fillId="3" borderId="1" xfId="0" applyFont="1" applyFill="1" applyBorder="1" applyAlignment="1">
      <alignment horizontal="right" vertical="center"/>
    </xf>
    <xf numFmtId="37" fontId="27" fillId="3" borderId="2" xfId="10" applyNumberFormat="1" applyFont="1" applyFill="1" applyBorder="1" applyAlignment="1">
      <alignment horizontal="center" vertical="center"/>
    </xf>
    <xf numFmtId="3" fontId="3" fillId="3" borderId="1" xfId="0" applyNumberFormat="1" applyFont="1" applyFill="1" applyBorder="1" applyAlignment="1">
      <alignment horizontal="center" vertical="center" wrapText="1"/>
    </xf>
    <xf numFmtId="37" fontId="36" fillId="3" borderId="2" xfId="10" applyNumberFormat="1" applyFont="1" applyFill="1" applyBorder="1" applyAlignment="1">
      <alignment horizontal="center" vertical="center"/>
    </xf>
    <xf numFmtId="0" fontId="4" fillId="3" borderId="3" xfId="0" applyFont="1" applyFill="1" applyBorder="1" applyAlignment="1">
      <alignment horizontal="center" vertical="center" wrapText="1"/>
    </xf>
    <xf numFmtId="179" fontId="4" fillId="3" borderId="1"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4" fontId="4" fillId="3" borderId="1" xfId="10" applyNumberFormat="1" applyFont="1" applyFill="1" applyBorder="1" applyAlignment="1">
      <alignment horizontal="center" vertical="center" wrapText="1"/>
    </xf>
    <xf numFmtId="37" fontId="4" fillId="3" borderId="1" xfId="10" applyNumberFormat="1" applyFont="1" applyFill="1" applyBorder="1" applyAlignment="1">
      <alignment horizontal="center" vertical="center"/>
    </xf>
    <xf numFmtId="37" fontId="36" fillId="3" borderId="4" xfId="10" applyNumberFormat="1" applyFont="1" applyFill="1" applyBorder="1" applyAlignment="1">
      <alignment horizontal="center" vertical="center"/>
    </xf>
    <xf numFmtId="0" fontId="32" fillId="3" borderId="2" xfId="9" applyNumberFormat="1" applyFont="1" applyFill="1" applyBorder="1" applyAlignment="1">
      <alignment horizontal="center" vertical="center"/>
    </xf>
    <xf numFmtId="0" fontId="38" fillId="3" borderId="3" xfId="0" applyFont="1" applyFill="1" applyBorder="1" applyAlignment="1">
      <alignment horizontal="center" vertical="center" wrapText="1"/>
    </xf>
    <xf numFmtId="167" fontId="3" fillId="3" borderId="1" xfId="3" applyFont="1" applyFill="1" applyBorder="1" applyAlignment="1">
      <alignment horizontal="right" vertical="center"/>
    </xf>
    <xf numFmtId="0" fontId="3" fillId="3" borderId="40" xfId="0" applyFont="1" applyFill="1" applyBorder="1" applyAlignment="1">
      <alignment horizontal="center" vertical="center"/>
    </xf>
    <xf numFmtId="0" fontId="3" fillId="3" borderId="3" xfId="0" applyFont="1" applyFill="1" applyBorder="1" applyAlignment="1">
      <alignment horizontal="center" vertical="center"/>
    </xf>
    <xf numFmtId="174" fontId="3" fillId="3" borderId="3" xfId="3" applyNumberFormat="1" applyFont="1" applyFill="1" applyBorder="1" applyAlignment="1">
      <alignment horizontal="center" vertical="center"/>
    </xf>
    <xf numFmtId="37" fontId="32" fillId="3" borderId="39" xfId="10" applyNumberFormat="1" applyFont="1" applyFill="1" applyBorder="1" applyAlignment="1">
      <alignment horizontal="center" vertical="center"/>
    </xf>
    <xf numFmtId="174" fontId="32" fillId="3" borderId="2" xfId="3" applyNumberFormat="1" applyFont="1" applyFill="1" applyBorder="1" applyAlignment="1">
      <alignment horizontal="center" vertical="center"/>
    </xf>
    <xf numFmtId="1" fontId="3" fillId="3" borderId="3"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xf>
    <xf numFmtId="1" fontId="3" fillId="3" borderId="2" xfId="0" applyNumberFormat="1" applyFont="1" applyFill="1" applyBorder="1" applyAlignment="1">
      <alignment horizontal="center" vertical="center"/>
    </xf>
    <xf numFmtId="37" fontId="32" fillId="3" borderId="1" xfId="9" applyNumberFormat="1" applyFont="1" applyFill="1" applyBorder="1" applyAlignment="1">
      <alignment horizontal="center" vertical="center"/>
    </xf>
    <xf numFmtId="171" fontId="3" fillId="3" borderId="1" xfId="24" applyNumberFormat="1" applyFont="1" applyFill="1" applyBorder="1" applyAlignment="1">
      <alignment horizontal="center" vertical="center" wrapText="1"/>
    </xf>
    <xf numFmtId="175" fontId="3" fillId="3" borderId="1" xfId="4" applyNumberFormat="1" applyFont="1" applyFill="1" applyBorder="1" applyAlignment="1">
      <alignment horizontal="center" vertical="center"/>
    </xf>
    <xf numFmtId="3" fontId="32" fillId="3" borderId="54" xfId="0" applyNumberFormat="1" applyFont="1" applyFill="1" applyBorder="1" applyAlignment="1">
      <alignment horizontal="center" vertical="center"/>
    </xf>
    <xf numFmtId="174" fontId="3" fillId="3" borderId="7" xfId="28" applyNumberFormat="1" applyFont="1" applyFill="1" applyBorder="1" applyAlignment="1">
      <alignment horizontal="right" vertical="center"/>
    </xf>
    <xf numFmtId="37" fontId="3" fillId="3" borderId="2" xfId="0" applyNumberFormat="1" applyFont="1" applyFill="1" applyBorder="1" applyAlignment="1">
      <alignment horizontal="center" vertical="center"/>
    </xf>
    <xf numFmtId="3" fontId="3" fillId="3" borderId="15" xfId="0" applyNumberFormat="1" applyFont="1" applyFill="1" applyBorder="1" applyAlignment="1">
      <alignment horizontal="center" vertical="center" wrapText="1"/>
    </xf>
    <xf numFmtId="0" fontId="3" fillId="3" borderId="16" xfId="0" applyFont="1" applyFill="1" applyBorder="1" applyAlignment="1">
      <alignment horizontal="right" vertical="center"/>
    </xf>
    <xf numFmtId="3" fontId="3" fillId="3" borderId="16" xfId="10" applyNumberFormat="1" applyFont="1" applyFill="1" applyBorder="1" applyAlignment="1">
      <alignment horizontal="center" vertical="center" wrapText="1"/>
    </xf>
    <xf numFmtId="37" fontId="32" fillId="3" borderId="19" xfId="9" applyNumberFormat="1" applyFont="1" applyFill="1" applyBorder="1" applyAlignment="1">
      <alignment horizontal="center" vertical="center"/>
    </xf>
    <xf numFmtId="178" fontId="3" fillId="3" borderId="3" xfId="0" quotePrefix="1" applyNumberFormat="1" applyFont="1" applyFill="1" applyBorder="1" applyAlignment="1">
      <alignment horizontal="center" vertical="center" wrapText="1"/>
    </xf>
    <xf numFmtId="1" fontId="3" fillId="3" borderId="40" xfId="0" applyNumberFormat="1" applyFont="1" applyFill="1" applyBorder="1" applyAlignment="1">
      <alignment horizontal="center" vertical="center" wrapText="1"/>
    </xf>
    <xf numFmtId="179" fontId="3" fillId="3" borderId="1" xfId="0" applyNumberFormat="1" applyFont="1" applyFill="1" applyBorder="1" applyAlignment="1">
      <alignment horizontal="right" vertical="center"/>
    </xf>
    <xf numFmtId="179" fontId="5" fillId="3" borderId="1" xfId="13" applyNumberFormat="1" applyFont="1" applyFill="1" applyBorder="1" applyAlignment="1" applyProtection="1">
      <alignment horizontal="right" vertical="center" wrapText="1"/>
      <protection locked="0"/>
    </xf>
    <xf numFmtId="176" fontId="3" fillId="3" borderId="3" xfId="0" applyNumberFormat="1" applyFont="1" applyFill="1" applyBorder="1" applyAlignment="1">
      <alignment horizontal="center" vertical="center"/>
    </xf>
    <xf numFmtId="3" fontId="3" fillId="3" borderId="4" xfId="10" applyNumberFormat="1" applyFont="1" applyFill="1" applyBorder="1" applyAlignment="1">
      <alignment horizontal="center" vertical="center" wrapText="1"/>
    </xf>
    <xf numFmtId="37" fontId="32" fillId="3" borderId="4" xfId="9" applyNumberFormat="1" applyFont="1" applyFill="1" applyBorder="1" applyAlignment="1">
      <alignment horizontal="center" vertical="center"/>
    </xf>
    <xf numFmtId="0" fontId="3" fillId="3" borderId="4" xfId="0" applyFont="1" applyFill="1" applyBorder="1" applyAlignment="1">
      <alignment horizontal="center" vertical="center"/>
    </xf>
    <xf numFmtId="0" fontId="3" fillId="3" borderId="54" xfId="0" applyFont="1" applyFill="1" applyBorder="1" applyAlignment="1">
      <alignment horizontal="center" vertical="center"/>
    </xf>
    <xf numFmtId="10" fontId="28" fillId="3" borderId="4" xfId="21" applyNumberFormat="1" applyFont="1" applyFill="1" applyBorder="1" applyAlignment="1">
      <alignment horizontal="center" vertical="center"/>
    </xf>
    <xf numFmtId="10" fontId="33" fillId="3" borderId="4" xfId="21" applyNumberFormat="1" applyFont="1" applyFill="1" applyBorder="1" applyAlignment="1">
      <alignment horizontal="center" vertical="center"/>
    </xf>
    <xf numFmtId="3" fontId="3" fillId="3" borderId="5" xfId="0" applyNumberFormat="1" applyFont="1" applyFill="1" applyBorder="1" applyAlignment="1">
      <alignment horizontal="center"/>
    </xf>
    <xf numFmtId="3" fontId="3" fillId="3" borderId="5" xfId="10" applyNumberFormat="1" applyFont="1" applyFill="1" applyBorder="1" applyAlignment="1">
      <alignment horizontal="center" vertical="center" wrapText="1"/>
    </xf>
    <xf numFmtId="10" fontId="33" fillId="3" borderId="0" xfId="21" applyNumberFormat="1" applyFont="1" applyFill="1" applyBorder="1" applyAlignment="1"/>
    <xf numFmtId="0" fontId="33" fillId="3" borderId="0" xfId="0" applyFont="1" applyFill="1" applyBorder="1" applyAlignment="1"/>
    <xf numFmtId="0" fontId="37" fillId="3" borderId="0" xfId="0" applyFont="1" applyFill="1" applyBorder="1" applyAlignment="1"/>
    <xf numFmtId="0" fontId="37" fillId="3" borderId="26" xfId="0" applyFont="1" applyFill="1" applyBorder="1" applyAlignment="1"/>
    <xf numFmtId="174" fontId="3" fillId="3" borderId="1" xfId="0" applyNumberFormat="1" applyFont="1" applyFill="1" applyBorder="1" applyAlignment="1">
      <alignment horizontal="right" vertical="center"/>
    </xf>
    <xf numFmtId="3" fontId="32" fillId="3" borderId="2" xfId="0" applyNumberFormat="1" applyFont="1" applyFill="1" applyBorder="1" applyAlignment="1">
      <alignment horizontal="center" vertical="center" wrapText="1"/>
    </xf>
    <xf numFmtId="0" fontId="11" fillId="3" borderId="26" xfId="0" applyFont="1" applyFill="1" applyBorder="1" applyAlignment="1">
      <alignment horizontal="right"/>
    </xf>
    <xf numFmtId="0" fontId="28" fillId="3" borderId="0" xfId="0" applyFont="1" applyFill="1" applyBorder="1"/>
    <xf numFmtId="171" fontId="28" fillId="3" borderId="0" xfId="0" applyNumberFormat="1" applyFont="1" applyFill="1" applyBorder="1"/>
    <xf numFmtId="0" fontId="28" fillId="3" borderId="0" xfId="0" applyFont="1" applyFill="1" applyAlignment="1">
      <alignment horizontal="center"/>
    </xf>
    <xf numFmtId="0" fontId="28" fillId="3" borderId="0" xfId="0" applyFont="1" applyFill="1"/>
    <xf numFmtId="174" fontId="28" fillId="3" borderId="0" xfId="0" applyNumberFormat="1" applyFont="1" applyFill="1" applyBorder="1"/>
    <xf numFmtId="3" fontId="3" fillId="3" borderId="0" xfId="0" applyNumberFormat="1" applyFont="1" applyFill="1" applyBorder="1" applyAlignment="1">
      <alignment horizontal="center" vertical="top" wrapText="1"/>
    </xf>
    <xf numFmtId="174" fontId="28" fillId="3" borderId="0" xfId="3" applyNumberFormat="1" applyFont="1" applyFill="1" applyBorder="1"/>
    <xf numFmtId="0" fontId="28" fillId="3" borderId="0" xfId="0" applyFont="1" applyFill="1" applyBorder="1" applyAlignment="1">
      <alignment horizontal="center"/>
    </xf>
    <xf numFmtId="174" fontId="28" fillId="3" borderId="0" xfId="3" applyNumberFormat="1" applyFont="1" applyFill="1"/>
    <xf numFmtId="3" fontId="28" fillId="3" borderId="0" xfId="0" applyNumberFormat="1" applyFont="1" applyFill="1" applyBorder="1"/>
    <xf numFmtId="0" fontId="16" fillId="4" borderId="4" xfId="16" applyFont="1" applyFill="1" applyBorder="1" applyAlignment="1">
      <alignment horizontal="center" vertical="center" textRotation="180" wrapText="1"/>
    </xf>
    <xf numFmtId="10" fontId="4" fillId="4" borderId="4" xfId="16" applyNumberFormat="1" applyFont="1" applyFill="1" applyBorder="1" applyAlignment="1">
      <alignment horizontal="center" vertical="center" wrapText="1"/>
    </xf>
    <xf numFmtId="0" fontId="2" fillId="4" borderId="4" xfId="16" applyFont="1" applyFill="1" applyBorder="1" applyAlignment="1">
      <alignment horizontal="center" vertical="center" wrapText="1"/>
    </xf>
    <xf numFmtId="183" fontId="40" fillId="8" borderId="3" xfId="0" applyNumberFormat="1" applyFont="1" applyFill="1" applyBorder="1" applyAlignment="1">
      <alignment vertical="center"/>
    </xf>
    <xf numFmtId="183" fontId="40" fillId="5" borderId="2" xfId="0" applyNumberFormat="1" applyFont="1" applyFill="1" applyBorder="1" applyAlignment="1">
      <alignment vertical="center"/>
    </xf>
    <xf numFmtId="183" fontId="40" fillId="8" borderId="1" xfId="0" applyNumberFormat="1" applyFont="1" applyFill="1" applyBorder="1" applyAlignment="1">
      <alignment vertical="center"/>
    </xf>
    <xf numFmtId="183" fontId="40" fillId="5" borderId="1" xfId="0" applyNumberFormat="1" applyFont="1" applyFill="1" applyBorder="1" applyAlignment="1">
      <alignment vertical="center"/>
    </xf>
    <xf numFmtId="9" fontId="17" fillId="0" borderId="1" xfId="30" applyFont="1" applyFill="1" applyBorder="1" applyAlignment="1">
      <alignment vertical="center"/>
    </xf>
    <xf numFmtId="183" fontId="17" fillId="0" borderId="1" xfId="0" applyNumberFormat="1" applyFont="1" applyFill="1" applyBorder="1" applyAlignment="1">
      <alignment horizontal="center" vertical="center"/>
    </xf>
    <xf numFmtId="183" fontId="17" fillId="3" borderId="1" xfId="0" applyNumberFormat="1" applyFont="1" applyFill="1" applyBorder="1" applyAlignment="1">
      <alignment horizontal="center" vertical="center"/>
    </xf>
    <xf numFmtId="183" fontId="40" fillId="8" borderId="5" xfId="0" applyNumberFormat="1" applyFont="1" applyFill="1" applyBorder="1" applyAlignment="1">
      <alignment vertical="center"/>
    </xf>
    <xf numFmtId="0" fontId="4" fillId="3" borderId="0" xfId="16" applyFill="1" applyAlignment="1">
      <alignment vertical="center"/>
    </xf>
    <xf numFmtId="0" fontId="16" fillId="0" borderId="1"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183" fontId="40" fillId="0" borderId="1" xfId="0" applyNumberFormat="1" applyFont="1" applyFill="1" applyBorder="1" applyAlignment="1">
      <alignment vertical="center"/>
    </xf>
    <xf numFmtId="0" fontId="16" fillId="0" borderId="4" xfId="0" applyFont="1" applyBorder="1" applyAlignment="1" applyProtection="1">
      <alignment horizontal="center" vertical="center" wrapText="1"/>
      <protection locked="0"/>
    </xf>
    <xf numFmtId="183" fontId="40" fillId="5" borderId="4" xfId="0" applyNumberFormat="1" applyFont="1" applyFill="1" applyBorder="1" applyAlignment="1">
      <alignment vertical="center"/>
    </xf>
    <xf numFmtId="9" fontId="2" fillId="4" borderId="37" xfId="30" applyFont="1" applyFill="1" applyBorder="1" applyAlignment="1">
      <alignment horizontal="center" vertical="center" wrapText="1"/>
    </xf>
    <xf numFmtId="0" fontId="2" fillId="4" borderId="62" xfId="16" applyFont="1" applyFill="1" applyBorder="1" applyAlignment="1">
      <alignment horizontal="center" vertical="center" wrapText="1"/>
    </xf>
    <xf numFmtId="10" fontId="11" fillId="3" borderId="0" xfId="16" applyNumberFormat="1" applyFont="1" applyFill="1" applyBorder="1" applyAlignment="1">
      <alignment horizontal="center" vertical="center"/>
    </xf>
    <xf numFmtId="0" fontId="4" fillId="0" borderId="0" xfId="16" applyFont="1" applyBorder="1" applyAlignment="1">
      <alignment vertical="center"/>
    </xf>
    <xf numFmtId="0" fontId="4" fillId="0" borderId="0" xfId="16" applyFont="1" applyAlignment="1">
      <alignment vertical="center"/>
    </xf>
    <xf numFmtId="0" fontId="4" fillId="0" borderId="0" xfId="16" applyFont="1" applyFill="1" applyAlignment="1">
      <alignment horizontal="left" vertical="center"/>
    </xf>
    <xf numFmtId="10" fontId="4" fillId="0" borderId="0" xfId="16" applyNumberFormat="1" applyFont="1" applyAlignment="1">
      <alignment vertical="center"/>
    </xf>
    <xf numFmtId="0" fontId="4" fillId="2" borderId="0" xfId="16" applyFont="1" applyFill="1" applyBorder="1" applyAlignment="1">
      <alignment vertical="center"/>
    </xf>
    <xf numFmtId="10" fontId="17" fillId="3" borderId="3" xfId="16" applyNumberFormat="1" applyFont="1" applyFill="1" applyBorder="1" applyAlignment="1">
      <alignment horizontal="center" vertical="center" wrapText="1"/>
    </xf>
    <xf numFmtId="0" fontId="4" fillId="2" borderId="0" xfId="16" applyFont="1" applyFill="1" applyAlignment="1">
      <alignment vertical="center"/>
    </xf>
    <xf numFmtId="10" fontId="17" fillId="0" borderId="2" xfId="16" applyNumberFormat="1" applyFont="1" applyFill="1" applyBorder="1" applyAlignment="1">
      <alignment horizontal="center" vertical="center" wrapText="1"/>
    </xf>
    <xf numFmtId="10" fontId="17" fillId="3" borderId="2" xfId="16" applyNumberFormat="1" applyFont="1" applyFill="1" applyBorder="1" applyAlignment="1">
      <alignment horizontal="center" vertical="center" wrapText="1"/>
    </xf>
    <xf numFmtId="10" fontId="17" fillId="3" borderId="1" xfId="16" applyNumberFormat="1" applyFont="1" applyFill="1" applyBorder="1" applyAlignment="1">
      <alignment horizontal="center" vertical="center" wrapText="1"/>
    </xf>
    <xf numFmtId="10" fontId="17" fillId="0" borderId="1" xfId="16" applyNumberFormat="1" applyFont="1" applyFill="1" applyBorder="1" applyAlignment="1">
      <alignment horizontal="center" vertical="center" wrapText="1"/>
    </xf>
    <xf numFmtId="10" fontId="17" fillId="3" borderId="5" xfId="16" applyNumberFormat="1" applyFont="1" applyFill="1" applyBorder="1" applyAlignment="1">
      <alignment horizontal="center" vertical="center" wrapText="1"/>
    </xf>
    <xf numFmtId="10" fontId="17" fillId="0" borderId="5" xfId="16" applyNumberFormat="1" applyFont="1" applyFill="1" applyBorder="1" applyAlignment="1">
      <alignment horizontal="center" vertical="center" wrapText="1"/>
    </xf>
    <xf numFmtId="0" fontId="4" fillId="3" borderId="0" xfId="16" applyFont="1" applyFill="1" applyAlignment="1">
      <alignment vertical="center"/>
    </xf>
    <xf numFmtId="183" fontId="17" fillId="0" borderId="2" xfId="0" applyNumberFormat="1" applyFont="1" applyFill="1" applyBorder="1" applyAlignment="1">
      <alignment horizontal="center" vertical="center"/>
    </xf>
    <xf numFmtId="10" fontId="17" fillId="3" borderId="4" xfId="16" applyNumberFormat="1"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10" fontId="2" fillId="3" borderId="0" xfId="16" applyNumberFormat="1" applyFont="1" applyFill="1" applyBorder="1" applyAlignment="1">
      <alignment horizontal="center" vertical="center"/>
    </xf>
    <xf numFmtId="0" fontId="4" fillId="2" borderId="0" xfId="16" applyFont="1" applyFill="1" applyAlignment="1">
      <alignment horizontal="left" vertical="center"/>
    </xf>
    <xf numFmtId="10" fontId="4" fillId="2" borderId="0" xfId="16" applyNumberFormat="1" applyFont="1" applyFill="1" applyAlignment="1">
      <alignment vertical="center"/>
    </xf>
    <xf numFmtId="0" fontId="4" fillId="0" borderId="0" xfId="16" applyFont="1" applyAlignment="1">
      <alignment horizontal="left" vertical="center"/>
    </xf>
    <xf numFmtId="10" fontId="41" fillId="0" borderId="3" xfId="16" applyNumberFormat="1" applyFont="1" applyFill="1" applyBorder="1" applyAlignment="1">
      <alignment horizontal="center" vertical="center" wrapText="1"/>
    </xf>
    <xf numFmtId="10" fontId="17" fillId="0" borderId="3" xfId="16" applyNumberFormat="1" applyFont="1" applyFill="1" applyBorder="1" applyAlignment="1">
      <alignment horizontal="center" vertical="center" wrapText="1"/>
    </xf>
    <xf numFmtId="10" fontId="41" fillId="0" borderId="1" xfId="16" applyNumberFormat="1" applyFont="1" applyFill="1" applyBorder="1" applyAlignment="1">
      <alignment horizontal="center" vertical="center" wrapText="1"/>
    </xf>
    <xf numFmtId="10" fontId="41" fillId="0" borderId="5" xfId="16" applyNumberFormat="1" applyFont="1" applyFill="1" applyBorder="1" applyAlignment="1">
      <alignment horizontal="center" vertical="center" wrapText="1"/>
    </xf>
    <xf numFmtId="183" fontId="17" fillId="0" borderId="4" xfId="0" applyNumberFormat="1" applyFont="1" applyFill="1" applyBorder="1" applyAlignment="1">
      <alignment horizontal="center" vertical="center"/>
    </xf>
    <xf numFmtId="10" fontId="17" fillId="0" borderId="4" xfId="16" applyNumberFormat="1" applyFont="1" applyFill="1" applyBorder="1" applyAlignment="1">
      <alignment horizontal="center" vertical="center" wrapText="1"/>
    </xf>
    <xf numFmtId="0" fontId="4" fillId="0" borderId="0" xfId="19" applyBorder="1"/>
    <xf numFmtId="0" fontId="4" fillId="0" borderId="0" xfId="19" applyBorder="1" applyAlignment="1">
      <alignment vertical="center" wrapText="1"/>
    </xf>
    <xf numFmtId="0" fontId="4" fillId="0" borderId="0" xfId="19" applyBorder="1" applyAlignment="1">
      <alignment wrapText="1"/>
    </xf>
    <xf numFmtId="0" fontId="4" fillId="0" borderId="0" xfId="19"/>
    <xf numFmtId="0" fontId="5" fillId="0" borderId="0" xfId="19" applyFont="1" applyBorder="1"/>
    <xf numFmtId="0" fontId="5" fillId="0" borderId="0" xfId="19" applyFont="1" applyBorder="1" applyAlignment="1">
      <alignment vertical="center" wrapText="1"/>
    </xf>
    <xf numFmtId="0" fontId="5" fillId="0" borderId="0" xfId="19" applyFont="1" applyBorder="1" applyAlignment="1">
      <alignment wrapText="1"/>
    </xf>
    <xf numFmtId="0" fontId="5" fillId="0" borderId="0" xfId="19" applyFont="1"/>
    <xf numFmtId="0" fontId="16" fillId="5" borderId="21" xfId="19" applyFont="1" applyFill="1" applyBorder="1" applyAlignment="1">
      <alignment horizontal="center" vertical="center" wrapText="1"/>
    </xf>
    <xf numFmtId="0" fontId="36" fillId="5" borderId="21" xfId="19" applyFont="1" applyFill="1" applyBorder="1" applyAlignment="1">
      <alignment horizontal="center" vertical="center" wrapText="1"/>
    </xf>
    <xf numFmtId="0" fontId="16" fillId="5" borderId="9" xfId="19" applyFont="1" applyFill="1" applyBorder="1" applyAlignment="1">
      <alignment horizontal="center" vertical="center" wrapText="1"/>
    </xf>
    <xf numFmtId="0" fontId="16" fillId="5" borderId="68" xfId="19" applyFont="1" applyFill="1" applyBorder="1" applyAlignment="1">
      <alignment horizontal="center" vertical="center" wrapText="1"/>
    </xf>
    <xf numFmtId="0" fontId="16" fillId="5" borderId="13" xfId="19" applyFont="1" applyFill="1" applyBorder="1" applyAlignment="1">
      <alignment horizontal="center" vertical="center"/>
    </xf>
    <xf numFmtId="0" fontId="16" fillId="5" borderId="20" xfId="19" applyFont="1" applyFill="1" applyBorder="1" applyAlignment="1">
      <alignment horizontal="center" vertical="center" wrapText="1"/>
    </xf>
    <xf numFmtId="0" fontId="11" fillId="0" borderId="0" xfId="31" applyFont="1" applyBorder="1" applyAlignment="1">
      <alignment horizontal="center" vertical="center" wrapText="1"/>
    </xf>
    <xf numFmtId="0" fontId="5" fillId="0" borderId="0" xfId="19" applyFont="1" applyBorder="1" applyAlignment="1">
      <alignment horizontal="center" vertical="center" wrapText="1"/>
    </xf>
    <xf numFmtId="0" fontId="11" fillId="0" borderId="0" xfId="31" applyFont="1" applyBorder="1" applyAlignment="1">
      <alignment vertical="center" wrapText="1"/>
    </xf>
    <xf numFmtId="0" fontId="19" fillId="5" borderId="5" xfId="19" applyFont="1" applyFill="1" applyBorder="1" applyAlignment="1">
      <alignment horizontal="left" vertical="center" wrapText="1"/>
    </xf>
    <xf numFmtId="3" fontId="36" fillId="0" borderId="5" xfId="0" applyNumberFormat="1" applyFont="1" applyFill="1" applyBorder="1" applyAlignment="1">
      <alignment horizontal="center" vertical="center" wrapText="1"/>
    </xf>
    <xf numFmtId="3" fontId="36" fillId="0" borderId="3" xfId="0" applyNumberFormat="1" applyFont="1" applyFill="1" applyBorder="1" applyAlignment="1">
      <alignment horizontal="center" vertical="center" wrapText="1"/>
    </xf>
    <xf numFmtId="4" fontId="36" fillId="0" borderId="3" xfId="0" applyNumberFormat="1" applyFont="1" applyFill="1" applyBorder="1" applyAlignment="1">
      <alignment horizontal="center" vertical="center" wrapText="1"/>
    </xf>
    <xf numFmtId="0" fontId="12" fillId="0" borderId="0" xfId="31" applyFont="1" applyBorder="1" applyAlignment="1">
      <alignment vertical="center" wrapText="1"/>
    </xf>
    <xf numFmtId="0" fontId="12" fillId="0" borderId="0" xfId="19" applyFont="1" applyBorder="1" applyAlignment="1">
      <alignment vertical="center" wrapText="1"/>
    </xf>
    <xf numFmtId="170" fontId="19" fillId="5" borderId="1" xfId="19" applyNumberFormat="1" applyFont="1" applyFill="1" applyBorder="1" applyAlignment="1">
      <alignment horizontal="left" vertical="center" wrapText="1"/>
    </xf>
    <xf numFmtId="37" fontId="44" fillId="0" borderId="1" xfId="10" applyNumberFormat="1" applyFont="1" applyFill="1" applyBorder="1" applyAlignment="1">
      <alignment horizontal="center" vertical="center"/>
    </xf>
    <xf numFmtId="39" fontId="45" fillId="0" borderId="1" xfId="10" applyNumberFormat="1" applyFont="1" applyFill="1" applyBorder="1" applyAlignment="1">
      <alignment horizontal="center" vertical="center"/>
    </xf>
    <xf numFmtId="0" fontId="45" fillId="0" borderId="1" xfId="0" applyFont="1" applyFill="1" applyBorder="1" applyAlignment="1">
      <alignment horizontal="right" vertical="center"/>
    </xf>
    <xf numFmtId="170" fontId="19" fillId="5" borderId="2" xfId="19" applyNumberFormat="1" applyFont="1" applyFill="1" applyBorder="1" applyAlignment="1">
      <alignment vertical="center" wrapText="1"/>
    </xf>
    <xf numFmtId="37" fontId="44" fillId="0" borderId="2" xfId="10" applyNumberFormat="1" applyFont="1" applyFill="1" applyBorder="1" applyAlignment="1">
      <alignment horizontal="center" vertical="center"/>
    </xf>
    <xf numFmtId="3" fontId="19" fillId="0" borderId="2" xfId="19" applyNumberFormat="1" applyFont="1" applyFill="1" applyBorder="1" applyAlignment="1">
      <alignment horizontal="center" vertical="center" wrapText="1"/>
    </xf>
    <xf numFmtId="37" fontId="45" fillId="0" borderId="4" xfId="10" applyNumberFormat="1" applyFont="1" applyFill="1" applyBorder="1" applyAlignment="1">
      <alignment horizontal="center" vertical="center"/>
    </xf>
    <xf numFmtId="3" fontId="19" fillId="0" borderId="4" xfId="19" applyNumberFormat="1" applyFont="1" applyFill="1" applyBorder="1" applyAlignment="1">
      <alignment horizontal="center" vertical="center" wrapText="1"/>
    </xf>
    <xf numFmtId="37" fontId="44" fillId="0" borderId="4" xfId="10" applyNumberFormat="1" applyFont="1" applyFill="1" applyBorder="1" applyAlignment="1">
      <alignment horizontal="center" vertical="center"/>
    </xf>
    <xf numFmtId="0" fontId="19" fillId="5" borderId="3" xfId="19" applyFont="1" applyFill="1" applyBorder="1" applyAlignment="1">
      <alignment horizontal="left" vertical="center" wrapText="1"/>
    </xf>
    <xf numFmtId="174" fontId="45" fillId="0" borderId="1" xfId="28" applyNumberFormat="1" applyFont="1" applyFill="1" applyBorder="1" applyAlignment="1">
      <alignment horizontal="right" vertical="center"/>
    </xf>
    <xf numFmtId="37" fontId="45" fillId="0" borderId="1" xfId="10" applyNumberFormat="1" applyFont="1" applyFill="1" applyBorder="1" applyAlignment="1">
      <alignment horizontal="center" vertical="center"/>
    </xf>
    <xf numFmtId="3" fontId="45" fillId="0" borderId="1" xfId="19" applyNumberFormat="1" applyFont="1" applyFill="1" applyBorder="1" applyAlignment="1">
      <alignment horizontal="center" vertical="center" wrapText="1"/>
    </xf>
    <xf numFmtId="170" fontId="19" fillId="5" borderId="1" xfId="19" applyNumberFormat="1" applyFont="1" applyFill="1" applyBorder="1" applyAlignment="1">
      <alignment vertical="center" wrapText="1"/>
    </xf>
    <xf numFmtId="0" fontId="19" fillId="5" borderId="1" xfId="19" applyFont="1" applyFill="1" applyBorder="1" applyAlignment="1">
      <alignment horizontal="left" vertical="center" wrapText="1"/>
    </xf>
    <xf numFmtId="1" fontId="23" fillId="9" borderId="0" xfId="0" applyNumberFormat="1" applyFont="1" applyFill="1" applyBorder="1" applyAlignment="1">
      <alignment vertical="center" wrapText="1"/>
    </xf>
    <xf numFmtId="1" fontId="23" fillId="9" borderId="0" xfId="0" applyNumberFormat="1" applyFont="1" applyFill="1" applyBorder="1" applyAlignment="1">
      <alignment horizontal="left" vertical="center" wrapText="1"/>
    </xf>
    <xf numFmtId="3" fontId="27" fillId="0" borderId="3" xfId="0" applyNumberFormat="1" applyFont="1" applyFill="1" applyBorder="1" applyAlignment="1">
      <alignment horizontal="center" vertical="center" wrapText="1"/>
    </xf>
    <xf numFmtId="1" fontId="23" fillId="3" borderId="10" xfId="0" applyNumberFormat="1" applyFont="1" applyFill="1" applyBorder="1" applyAlignment="1">
      <alignment horizontal="left" vertical="center" wrapText="1"/>
    </xf>
    <xf numFmtId="1" fontId="23" fillId="3" borderId="11" xfId="0" applyNumberFormat="1" applyFont="1" applyFill="1" applyBorder="1" applyAlignment="1">
      <alignment horizontal="left" vertical="center" wrapText="1"/>
    </xf>
    <xf numFmtId="3" fontId="45" fillId="0" borderId="2" xfId="19" applyNumberFormat="1" applyFont="1" applyFill="1" applyBorder="1" applyAlignment="1">
      <alignment horizontal="center" vertical="center" wrapText="1"/>
    </xf>
    <xf numFmtId="1" fontId="23" fillId="3" borderId="11" xfId="0" applyNumberFormat="1" applyFont="1" applyFill="1" applyBorder="1" applyAlignment="1">
      <alignment horizontal="center" vertical="center" wrapText="1"/>
    </xf>
    <xf numFmtId="0" fontId="4" fillId="0" borderId="11" xfId="19" applyFill="1" applyBorder="1"/>
    <xf numFmtId="167" fontId="4" fillId="3" borderId="0" xfId="5" applyFont="1" applyFill="1" applyBorder="1"/>
    <xf numFmtId="0" fontId="4" fillId="3" borderId="0" xfId="19" applyFill="1" applyBorder="1"/>
    <xf numFmtId="0" fontId="4" fillId="3" borderId="0" xfId="19" applyFill="1" applyBorder="1" applyAlignment="1">
      <alignment vertical="center" wrapText="1"/>
    </xf>
    <xf numFmtId="0" fontId="4" fillId="3" borderId="0" xfId="19" applyFill="1" applyBorder="1" applyAlignment="1">
      <alignment wrapText="1"/>
    </xf>
    <xf numFmtId="0" fontId="4" fillId="10" borderId="0" xfId="19" applyFill="1" applyBorder="1"/>
    <xf numFmtId="0" fontId="4" fillId="10" borderId="0" xfId="19" applyFill="1"/>
    <xf numFmtId="0" fontId="4" fillId="0" borderId="1" xfId="19" applyFill="1" applyBorder="1" applyAlignment="1">
      <alignment horizontal="center"/>
    </xf>
    <xf numFmtId="0" fontId="4" fillId="0" borderId="1" xfId="19" applyFill="1" applyBorder="1"/>
    <xf numFmtId="0" fontId="27" fillId="0" borderId="1" xfId="19" applyFont="1" applyFill="1" applyBorder="1"/>
    <xf numFmtId="0" fontId="4" fillId="0" borderId="11" xfId="19" applyBorder="1"/>
    <xf numFmtId="167" fontId="4" fillId="0" borderId="0" xfId="5" applyFont="1" applyBorder="1"/>
    <xf numFmtId="0" fontId="4" fillId="0" borderId="3" xfId="19" applyFill="1" applyBorder="1" applyAlignment="1">
      <alignment horizontal="center"/>
    </xf>
    <xf numFmtId="167" fontId="4" fillId="0" borderId="0" xfId="19" applyNumberFormat="1" applyBorder="1"/>
    <xf numFmtId="184" fontId="4" fillId="0" borderId="1" xfId="19" applyNumberFormat="1" applyFill="1" applyBorder="1" applyAlignment="1">
      <alignment horizontal="center"/>
    </xf>
    <xf numFmtId="184" fontId="4" fillId="0" borderId="1" xfId="19" applyNumberFormat="1" applyFill="1" applyBorder="1"/>
    <xf numFmtId="0" fontId="10" fillId="0" borderId="11" xfId="19" applyFont="1" applyBorder="1" applyAlignment="1">
      <alignment horizontal="center" vertical="center"/>
    </xf>
    <xf numFmtId="184" fontId="27" fillId="0" borderId="1" xfId="19" applyNumberFormat="1" applyFont="1" applyFill="1" applyBorder="1"/>
    <xf numFmtId="4" fontId="27" fillId="0" borderId="1" xfId="19" applyNumberFormat="1" applyFont="1" applyFill="1" applyBorder="1"/>
    <xf numFmtId="0" fontId="4" fillId="9" borderId="11" xfId="19" applyFill="1" applyBorder="1"/>
    <xf numFmtId="170" fontId="19" fillId="5" borderId="4" xfId="19" applyNumberFormat="1" applyFont="1" applyFill="1" applyBorder="1" applyAlignment="1">
      <alignment vertical="center" wrapText="1"/>
    </xf>
    <xf numFmtId="0" fontId="4" fillId="0" borderId="4" xfId="19" applyFill="1" applyBorder="1" applyAlignment="1">
      <alignment horizontal="center"/>
    </xf>
    <xf numFmtId="0" fontId="4" fillId="9" borderId="12" xfId="19" applyFill="1" applyBorder="1"/>
    <xf numFmtId="0" fontId="19" fillId="5" borderId="48" xfId="19" applyFont="1" applyFill="1" applyBorder="1" applyAlignment="1">
      <alignment horizontal="left" vertical="center" wrapText="1"/>
    </xf>
    <xf numFmtId="3" fontId="27" fillId="0" borderId="5" xfId="0" applyNumberFormat="1" applyFont="1" applyFill="1" applyBorder="1" applyAlignment="1">
      <alignment horizontal="center" vertical="center" wrapText="1"/>
    </xf>
    <xf numFmtId="0" fontId="4" fillId="0" borderId="5" xfId="19" applyFill="1" applyBorder="1" applyAlignment="1">
      <alignment horizontal="center"/>
    </xf>
    <xf numFmtId="0" fontId="4" fillId="0" borderId="5" xfId="19" applyFill="1" applyBorder="1"/>
    <xf numFmtId="0" fontId="4" fillId="0" borderId="5" xfId="19" applyBorder="1"/>
    <xf numFmtId="170" fontId="19" fillId="5" borderId="46" xfId="19" applyNumberFormat="1" applyFont="1" applyFill="1" applyBorder="1" applyAlignment="1">
      <alignment horizontal="left" vertical="center" wrapText="1"/>
    </xf>
    <xf numFmtId="0" fontId="4" fillId="0" borderId="1" xfId="19" applyBorder="1"/>
    <xf numFmtId="0" fontId="4" fillId="0" borderId="1" xfId="19" applyFont="1" applyFill="1" applyBorder="1" applyAlignment="1">
      <alignment horizontal="center"/>
    </xf>
    <xf numFmtId="0" fontId="4" fillId="0" borderId="1" xfId="19" applyFont="1" applyFill="1" applyBorder="1"/>
    <xf numFmtId="170" fontId="19" fillId="5" borderId="47" xfId="19" applyNumberFormat="1" applyFont="1" applyFill="1" applyBorder="1" applyAlignment="1">
      <alignment vertical="center" wrapText="1"/>
    </xf>
    <xf numFmtId="0" fontId="4" fillId="0" borderId="2" xfId="19" applyFill="1" applyBorder="1" applyAlignment="1">
      <alignment horizontal="center"/>
    </xf>
    <xf numFmtId="0" fontId="27" fillId="0" borderId="2" xfId="19" applyFont="1" applyFill="1" applyBorder="1" applyAlignment="1">
      <alignment horizontal="center"/>
    </xf>
    <xf numFmtId="0" fontId="4" fillId="0" borderId="2" xfId="19" applyFill="1" applyBorder="1"/>
    <xf numFmtId="0" fontId="4" fillId="0" borderId="2" xfId="19" applyBorder="1"/>
    <xf numFmtId="0" fontId="4" fillId="0" borderId="10" xfId="19" applyBorder="1"/>
    <xf numFmtId="0" fontId="27" fillId="0" borderId="1" xfId="19" applyFont="1" applyFill="1" applyBorder="1" applyAlignment="1">
      <alignment horizontal="center"/>
    </xf>
    <xf numFmtId="0" fontId="4" fillId="9" borderId="1" xfId="19" applyFill="1" applyBorder="1"/>
    <xf numFmtId="0" fontId="4" fillId="9" borderId="1" xfId="19" applyFill="1" applyBorder="1" applyAlignment="1"/>
    <xf numFmtId="0" fontId="4" fillId="9" borderId="2" xfId="19" applyFill="1" applyBorder="1"/>
    <xf numFmtId="0" fontId="4" fillId="9" borderId="2" xfId="19" applyFill="1" applyBorder="1" applyAlignment="1"/>
    <xf numFmtId="0" fontId="4" fillId="9" borderId="18" xfId="19" applyFill="1" applyBorder="1"/>
    <xf numFmtId="0" fontId="19" fillId="5" borderId="45" xfId="19" applyFont="1" applyFill="1" applyBorder="1" applyAlignment="1">
      <alignment horizontal="left" vertical="center" wrapText="1"/>
    </xf>
    <xf numFmtId="39" fontId="44" fillId="0" borderId="1" xfId="10" applyNumberFormat="1" applyFont="1" applyFill="1" applyBorder="1" applyAlignment="1">
      <alignment horizontal="center" vertical="center"/>
    </xf>
    <xf numFmtId="0" fontId="4" fillId="0" borderId="3" xfId="19" applyFill="1" applyBorder="1"/>
    <xf numFmtId="170" fontId="19" fillId="5" borderId="69" xfId="19" applyNumberFormat="1" applyFont="1" applyFill="1" applyBorder="1" applyAlignment="1">
      <alignment vertical="center" wrapText="1"/>
    </xf>
    <xf numFmtId="37" fontId="45" fillId="0" borderId="2" xfId="10" applyNumberFormat="1" applyFont="1" applyFill="1" applyBorder="1" applyAlignment="1">
      <alignment horizontal="center" vertical="center"/>
    </xf>
    <xf numFmtId="0" fontId="4" fillId="0" borderId="4" xfId="19" applyFill="1" applyBorder="1"/>
    <xf numFmtId="0" fontId="4" fillId="0" borderId="14" xfId="19" applyFill="1" applyBorder="1" applyAlignment="1">
      <alignment horizontal="center"/>
    </xf>
    <xf numFmtId="0" fontId="4" fillId="0" borderId="40" xfId="19" applyFill="1" applyBorder="1"/>
    <xf numFmtId="0" fontId="4" fillId="0" borderId="8" xfId="19" applyFill="1" applyBorder="1" applyAlignment="1">
      <alignment horizontal="center"/>
    </xf>
    <xf numFmtId="0" fontId="4" fillId="0" borderId="7" xfId="19" applyFill="1" applyBorder="1"/>
    <xf numFmtId="37" fontId="36" fillId="0" borderId="1" xfId="10" applyNumberFormat="1" applyFont="1" applyFill="1" applyBorder="1" applyAlignment="1">
      <alignment horizontal="center" vertical="center"/>
    </xf>
    <xf numFmtId="170" fontId="19" fillId="5" borderId="16" xfId="19" applyNumberFormat="1" applyFont="1" applyFill="1" applyBorder="1" applyAlignment="1">
      <alignment vertical="center" wrapText="1"/>
    </xf>
    <xf numFmtId="0" fontId="4" fillId="9" borderId="4" xfId="19" applyFill="1" applyBorder="1"/>
    <xf numFmtId="0" fontId="4" fillId="9" borderId="4" xfId="19" applyFill="1" applyBorder="1" applyAlignment="1"/>
    <xf numFmtId="4" fontId="36" fillId="0" borderId="5" xfId="0" applyNumberFormat="1" applyFont="1" applyFill="1" applyBorder="1" applyAlignment="1">
      <alignment horizontal="center" vertical="center" wrapText="1"/>
    </xf>
    <xf numFmtId="0" fontId="4" fillId="0" borderId="1" xfId="19" applyBorder="1" applyAlignment="1"/>
    <xf numFmtId="39" fontId="45" fillId="0" borderId="5" xfId="10" applyNumberFormat="1" applyFont="1" applyFill="1" applyBorder="1" applyAlignment="1">
      <alignment horizontal="center" vertical="center"/>
    </xf>
    <xf numFmtId="37" fontId="27" fillId="0" borderId="1" xfId="19" applyNumberFormat="1" applyFont="1" applyFill="1" applyBorder="1" applyAlignment="1">
      <alignment horizontal="center"/>
    </xf>
    <xf numFmtId="37" fontId="27" fillId="0" borderId="4" xfId="19" applyNumberFormat="1" applyFont="1" applyFill="1" applyBorder="1" applyAlignment="1">
      <alignment horizontal="center"/>
    </xf>
    <xf numFmtId="0" fontId="4" fillId="0" borderId="4" xfId="19" applyBorder="1"/>
    <xf numFmtId="0" fontId="4" fillId="0" borderId="4" xfId="19" applyBorder="1" applyAlignment="1"/>
    <xf numFmtId="0" fontId="4" fillId="0" borderId="12" xfId="19" applyBorder="1"/>
    <xf numFmtId="39" fontId="45" fillId="0" borderId="2" xfId="10" applyNumberFormat="1" applyFont="1" applyFill="1" applyBorder="1" applyAlignment="1">
      <alignment horizontal="center" vertical="center"/>
    </xf>
    <xf numFmtId="0" fontId="4" fillId="3" borderId="1" xfId="19" applyFill="1" applyBorder="1" applyAlignment="1">
      <alignment horizontal="center" vertical="center" wrapText="1"/>
    </xf>
    <xf numFmtId="0" fontId="4" fillId="3" borderId="2" xfId="19" applyFill="1" applyBorder="1" applyAlignment="1">
      <alignment vertical="center" wrapText="1"/>
    </xf>
    <xf numFmtId="0" fontId="4" fillId="3" borderId="1" xfId="19" applyFill="1" applyBorder="1" applyAlignment="1">
      <alignment vertical="center" wrapText="1"/>
    </xf>
    <xf numFmtId="170" fontId="19" fillId="5" borderId="25" xfId="19" applyNumberFormat="1" applyFont="1" applyFill="1" applyBorder="1" applyAlignment="1">
      <alignment vertical="center" wrapText="1"/>
    </xf>
    <xf numFmtId="0" fontId="4" fillId="3" borderId="21" xfId="19" applyFill="1" applyBorder="1" applyAlignment="1">
      <alignment horizontal="center" vertical="center" wrapText="1"/>
    </xf>
    <xf numFmtId="0" fontId="0" fillId="3" borderId="21" xfId="0" applyFill="1" applyBorder="1" applyAlignment="1">
      <alignment vertical="center"/>
    </xf>
    <xf numFmtId="3" fontId="4" fillId="3" borderId="21" xfId="19" applyNumberFormat="1" applyFill="1" applyBorder="1" applyAlignment="1">
      <alignment horizontal="center" vertical="center" wrapText="1"/>
    </xf>
    <xf numFmtId="4" fontId="4" fillId="0" borderId="1" xfId="19" applyNumberFormat="1" applyFill="1" applyBorder="1" applyAlignment="1">
      <alignment horizontal="center"/>
    </xf>
    <xf numFmtId="4" fontId="47" fillId="0" borderId="1" xfId="19" applyNumberFormat="1" applyFont="1" applyFill="1" applyBorder="1" applyAlignment="1">
      <alignment horizontal="center"/>
    </xf>
    <xf numFmtId="4" fontId="36" fillId="0" borderId="1" xfId="0" applyNumberFormat="1" applyFont="1" applyFill="1" applyBorder="1" applyAlignment="1">
      <alignment horizontal="center" vertical="center" wrapText="1"/>
    </xf>
    <xf numFmtId="4" fontId="4" fillId="0" borderId="1" xfId="19" applyNumberFormat="1" applyFill="1" applyBorder="1"/>
    <xf numFmtId="0" fontId="4" fillId="11" borderId="0" xfId="19" applyFill="1" applyBorder="1"/>
    <xf numFmtId="0" fontId="4" fillId="11" borderId="0" xfId="19" applyFill="1" applyBorder="1" applyAlignment="1">
      <alignment vertical="center" wrapText="1"/>
    </xf>
    <xf numFmtId="0" fontId="4" fillId="11" borderId="0" xfId="19" applyFill="1" applyBorder="1" applyAlignment="1">
      <alignment wrapText="1"/>
    </xf>
    <xf numFmtId="0" fontId="4" fillId="11" borderId="0" xfId="19" applyFill="1"/>
    <xf numFmtId="0" fontId="27" fillId="0" borderId="0" xfId="19" applyFont="1" applyFill="1"/>
    <xf numFmtId="3" fontId="36" fillId="0" borderId="1" xfId="0" applyNumberFormat="1" applyFont="1" applyFill="1" applyBorder="1" applyAlignment="1">
      <alignment horizontal="center" vertical="center" wrapText="1"/>
    </xf>
    <xf numFmtId="0" fontId="47" fillId="0" borderId="1" xfId="19" applyFont="1" applyFill="1" applyBorder="1" applyAlignment="1">
      <alignment horizontal="center"/>
    </xf>
    <xf numFmtId="3" fontId="2" fillId="0" borderId="1" xfId="19" applyNumberFormat="1" applyFont="1" applyFill="1" applyBorder="1" applyAlignment="1">
      <alignment horizontal="center"/>
    </xf>
    <xf numFmtId="4" fontId="2" fillId="0" borderId="1" xfId="19" applyNumberFormat="1" applyFont="1" applyFill="1" applyBorder="1" applyAlignment="1">
      <alignment horizontal="center"/>
    </xf>
    <xf numFmtId="37" fontId="4" fillId="0" borderId="1" xfId="19" applyNumberFormat="1" applyFill="1" applyBorder="1" applyAlignment="1">
      <alignment horizontal="center"/>
    </xf>
    <xf numFmtId="0" fontId="4" fillId="5" borderId="0" xfId="19" applyFill="1" applyBorder="1"/>
    <xf numFmtId="0" fontId="4" fillId="5" borderId="0" xfId="19" applyFill="1" applyBorder="1" applyAlignment="1">
      <alignment vertical="center" wrapText="1"/>
    </xf>
    <xf numFmtId="0" fontId="4" fillId="5" borderId="0" xfId="19" applyFill="1" applyBorder="1" applyAlignment="1">
      <alignment wrapText="1"/>
    </xf>
    <xf numFmtId="0" fontId="4" fillId="5" borderId="0" xfId="19" applyFill="1"/>
    <xf numFmtId="3" fontId="27" fillId="0" borderId="1" xfId="10" applyNumberFormat="1" applyFont="1" applyFill="1" applyBorder="1" applyAlignment="1">
      <alignment horizontal="center" vertical="center" wrapText="1"/>
    </xf>
    <xf numFmtId="37" fontId="27" fillId="0" borderId="1" xfId="10" applyNumberFormat="1" applyFont="1" applyFill="1" applyBorder="1" applyAlignment="1">
      <alignment horizontal="center" vertical="center"/>
    </xf>
    <xf numFmtId="0" fontId="27" fillId="0" borderId="1" xfId="0" applyFont="1" applyFill="1" applyBorder="1" applyAlignment="1">
      <alignment horizontal="right" vertical="center"/>
    </xf>
    <xf numFmtId="0" fontId="19" fillId="7" borderId="48" xfId="19" applyFont="1" applyFill="1" applyBorder="1" applyAlignment="1">
      <alignment horizontal="left" vertical="center" wrapText="1"/>
    </xf>
    <xf numFmtId="0" fontId="4" fillId="7" borderId="1" xfId="19" applyFill="1" applyBorder="1"/>
    <xf numFmtId="0" fontId="4" fillId="7" borderId="1" xfId="19" applyFill="1" applyBorder="1" applyAlignment="1">
      <alignment horizontal="center"/>
    </xf>
    <xf numFmtId="0" fontId="27" fillId="7" borderId="1" xfId="19" applyFont="1" applyFill="1" applyBorder="1"/>
    <xf numFmtId="0" fontId="4" fillId="5" borderId="1" xfId="19" applyFill="1" applyBorder="1"/>
    <xf numFmtId="0" fontId="4" fillId="7" borderId="1" xfId="19" applyFill="1" applyBorder="1" applyAlignment="1"/>
    <xf numFmtId="0" fontId="4" fillId="7" borderId="0" xfId="19" applyFill="1" applyBorder="1"/>
    <xf numFmtId="0" fontId="4" fillId="7" borderId="0" xfId="19" applyFill="1" applyBorder="1" applyAlignment="1">
      <alignment vertical="center" wrapText="1"/>
    </xf>
    <xf numFmtId="0" fontId="4" fillId="7" borderId="0" xfId="19" applyFill="1" applyBorder="1" applyAlignment="1">
      <alignment wrapText="1"/>
    </xf>
    <xf numFmtId="0" fontId="4" fillId="7" borderId="0" xfId="19" applyFill="1"/>
    <xf numFmtId="170" fontId="19" fillId="7" borderId="46" xfId="19" applyNumberFormat="1" applyFont="1" applyFill="1" applyBorder="1" applyAlignment="1">
      <alignment horizontal="left" vertical="center" wrapText="1"/>
    </xf>
    <xf numFmtId="170" fontId="19" fillId="7" borderId="47" xfId="19" applyNumberFormat="1" applyFont="1" applyFill="1" applyBorder="1" applyAlignment="1">
      <alignment vertical="center" wrapText="1"/>
    </xf>
    <xf numFmtId="0" fontId="4" fillId="7" borderId="2" xfId="19" applyFill="1" applyBorder="1"/>
    <xf numFmtId="0" fontId="4" fillId="7" borderId="2" xfId="19" applyFill="1" applyBorder="1" applyAlignment="1">
      <alignment horizontal="center"/>
    </xf>
    <xf numFmtId="0" fontId="27" fillId="7" borderId="2" xfId="19" applyFont="1" applyFill="1" applyBorder="1"/>
    <xf numFmtId="0" fontId="4" fillId="5" borderId="2" xfId="19" applyFill="1" applyBorder="1"/>
    <xf numFmtId="0" fontId="19" fillId="5" borderId="1" xfId="19" applyFont="1" applyFill="1" applyBorder="1" applyAlignment="1">
      <alignment horizontal="center" vertical="center" wrapText="1"/>
    </xf>
    <xf numFmtId="37" fontId="19" fillId="5" borderId="1" xfId="19" applyNumberFormat="1" applyFont="1" applyFill="1" applyBorder="1" applyAlignment="1">
      <alignment horizontal="center" vertical="center" wrapText="1"/>
    </xf>
    <xf numFmtId="165" fontId="4" fillId="5" borderId="0" xfId="19" applyNumberFormat="1" applyFill="1" applyBorder="1"/>
    <xf numFmtId="0" fontId="4" fillId="5" borderId="0" xfId="19" applyFill="1" applyBorder="1" applyAlignment="1"/>
    <xf numFmtId="0" fontId="4" fillId="5" borderId="26" xfId="19" applyFill="1" applyBorder="1"/>
    <xf numFmtId="0" fontId="4" fillId="5" borderId="28" xfId="19" applyFill="1" applyBorder="1"/>
    <xf numFmtId="184" fontId="4" fillId="0" borderId="0" xfId="19" applyNumberFormat="1"/>
    <xf numFmtId="184" fontId="4" fillId="0" borderId="0" xfId="19" applyNumberFormat="1" applyAlignment="1">
      <alignment horizontal="center"/>
    </xf>
    <xf numFmtId="184" fontId="27" fillId="0" borderId="0" xfId="19" applyNumberFormat="1" applyFont="1"/>
    <xf numFmtId="184" fontId="4" fillId="5" borderId="0" xfId="19" applyNumberFormat="1" applyFill="1"/>
    <xf numFmtId="0" fontId="4" fillId="0" borderId="0" xfId="19" applyAlignment="1">
      <alignment horizontal="center"/>
    </xf>
    <xf numFmtId="0" fontId="27" fillId="0" borderId="0" xfId="19" applyFont="1"/>
    <xf numFmtId="0" fontId="4" fillId="0" borderId="0" xfId="19" applyAlignment="1"/>
    <xf numFmtId="0" fontId="10" fillId="0" borderId="27" xfId="0" applyFont="1" applyFill="1" applyBorder="1" applyAlignment="1">
      <alignment horizontal="right" vertical="center"/>
    </xf>
    <xf numFmtId="0" fontId="10" fillId="0" borderId="28" xfId="0" applyFont="1" applyFill="1" applyBorder="1" applyAlignment="1">
      <alignment horizontal="right" vertical="center"/>
    </xf>
    <xf numFmtId="0" fontId="10" fillId="0" borderId="55" xfId="0" applyFont="1" applyFill="1" applyBorder="1" applyAlignment="1">
      <alignment horizontal="right" vertical="center"/>
    </xf>
    <xf numFmtId="0" fontId="25" fillId="0" borderId="22" xfId="0" applyFont="1" applyFill="1" applyBorder="1" applyAlignment="1">
      <alignment horizontal="center"/>
    </xf>
    <xf numFmtId="0" fontId="25" fillId="0" borderId="23" xfId="0" applyFont="1" applyFill="1" applyBorder="1" applyAlignment="1">
      <alignment horizontal="center"/>
    </xf>
    <xf numFmtId="0" fontId="25" fillId="0" borderId="24" xfId="0" applyFont="1" applyFill="1" applyBorder="1" applyAlignment="1">
      <alignment horizontal="center"/>
    </xf>
    <xf numFmtId="0" fontId="25" fillId="0" borderId="25" xfId="0" applyFont="1" applyFill="1" applyBorder="1" applyAlignment="1">
      <alignment horizontal="center"/>
    </xf>
    <xf numFmtId="0" fontId="25" fillId="0" borderId="0" xfId="0" applyFont="1" applyFill="1" applyBorder="1" applyAlignment="1">
      <alignment horizontal="center"/>
    </xf>
    <xf numFmtId="0" fontId="25" fillId="0" borderId="9" xfId="0" applyFont="1" applyFill="1" applyBorder="1" applyAlignment="1">
      <alignment horizontal="center"/>
    </xf>
    <xf numFmtId="0" fontId="5" fillId="5" borderId="15"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6"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7" fillId="0" borderId="1" xfId="0" applyFont="1" applyBorder="1" applyAlignment="1">
      <alignment horizontal="center" vertical="center"/>
    </xf>
    <xf numFmtId="0" fontId="2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5" xfId="0" applyFont="1" applyFill="1" applyBorder="1" applyAlignment="1">
      <alignment horizontal="center" vertical="center"/>
    </xf>
    <xf numFmtId="0" fontId="5" fillId="5" borderId="2" xfId="0" applyFont="1" applyFill="1" applyBorder="1" applyAlignment="1">
      <alignment horizontal="center"/>
    </xf>
    <xf numFmtId="0" fontId="5" fillId="5" borderId="14"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40" xfId="0" applyFont="1" applyFill="1" applyBorder="1" applyAlignment="1">
      <alignment horizontal="center" vertical="center"/>
    </xf>
    <xf numFmtId="0" fontId="0" fillId="0" borderId="15" xfId="0" applyFill="1" applyBorder="1" applyAlignment="1">
      <alignment horizontal="center"/>
    </xf>
    <xf numFmtId="0" fontId="0" fillId="0" borderId="3" xfId="0" applyFill="1" applyBorder="1" applyAlignment="1">
      <alignment horizontal="center"/>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Fill="1" applyBorder="1" applyAlignment="1">
      <alignment horizontal="center"/>
    </xf>
    <xf numFmtId="0" fontId="0" fillId="0" borderId="4" xfId="0" applyFill="1" applyBorder="1" applyAlignment="1">
      <alignment horizontal="center"/>
    </xf>
    <xf numFmtId="0" fontId="5" fillId="5" borderId="8"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49" xfId="0" applyFont="1" applyFill="1" applyBorder="1" applyAlignment="1">
      <alignment horizontal="center" vertical="center"/>
    </xf>
    <xf numFmtId="0" fontId="5" fillId="5" borderId="50" xfId="0" applyFont="1" applyFill="1" applyBorder="1" applyAlignment="1">
      <alignment horizontal="center" vertical="center"/>
    </xf>
    <xf numFmtId="0" fontId="5" fillId="5" borderId="51" xfId="0" applyFont="1" applyFill="1" applyBorder="1" applyAlignment="1">
      <alignment horizontal="center" vertical="center"/>
    </xf>
    <xf numFmtId="0" fontId="10" fillId="5" borderId="8"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8" fillId="3" borderId="1" xfId="0" applyFont="1" applyFill="1" applyBorder="1" applyAlignment="1">
      <alignment horizontal="right"/>
    </xf>
    <xf numFmtId="0" fontId="37" fillId="3" borderId="3" xfId="0" applyFont="1" applyFill="1" applyBorder="1" applyAlignment="1">
      <alignment horizontal="justify" vertical="center" wrapText="1"/>
    </xf>
    <xf numFmtId="0" fontId="37" fillId="3" borderId="1" xfId="0" applyFont="1" applyFill="1" applyBorder="1" applyAlignment="1">
      <alignment horizontal="justify" vertical="center"/>
    </xf>
    <xf numFmtId="0" fontId="37" fillId="3" borderId="4" xfId="0" applyFont="1" applyFill="1" applyBorder="1" applyAlignment="1">
      <alignment horizontal="justify" vertical="center"/>
    </xf>
    <xf numFmtId="0" fontId="37" fillId="3" borderId="10" xfId="0" applyFont="1" applyFill="1" applyBorder="1" applyAlignment="1">
      <alignment horizontal="justify" vertical="center" wrapText="1"/>
    </xf>
    <xf numFmtId="0" fontId="37" fillId="3" borderId="11" xfId="0" applyFont="1" applyFill="1" applyBorder="1" applyAlignment="1">
      <alignment horizontal="justify" vertical="center" wrapText="1"/>
    </xf>
    <xf numFmtId="0" fontId="37" fillId="3" borderId="12" xfId="0" applyFont="1" applyFill="1" applyBorder="1" applyAlignment="1">
      <alignment horizontal="justify" vertical="center" wrapText="1"/>
    </xf>
    <xf numFmtId="0" fontId="3" fillId="3" borderId="25"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5" fillId="5" borderId="1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4" fillId="3" borderId="15" xfId="0" applyFont="1" applyFill="1" applyBorder="1" applyAlignment="1">
      <alignment horizontal="justify" vertical="center" wrapText="1"/>
    </xf>
    <xf numFmtId="0" fontId="4" fillId="3" borderId="16" xfId="0" applyFont="1" applyFill="1" applyBorder="1" applyAlignment="1">
      <alignment horizontal="justify" vertical="center" wrapText="1"/>
    </xf>
    <xf numFmtId="0" fontId="4" fillId="3" borderId="19" xfId="0" applyFont="1" applyFill="1" applyBorder="1" applyAlignment="1">
      <alignment horizontal="justify"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4" fillId="3" borderId="14" xfId="0" applyFont="1" applyFill="1" applyBorder="1" applyAlignment="1">
      <alignment horizontal="justify" vertical="center" wrapText="1"/>
    </xf>
    <xf numFmtId="0" fontId="4" fillId="3" borderId="8" xfId="0" applyFont="1" applyFill="1" applyBorder="1" applyAlignment="1">
      <alignment horizontal="justify" vertical="center" wrapText="1"/>
    </xf>
    <xf numFmtId="0" fontId="4" fillId="3" borderId="34" xfId="0" applyFont="1" applyFill="1" applyBorder="1" applyAlignment="1">
      <alignment horizontal="justify" vertical="center" wrapText="1"/>
    </xf>
    <xf numFmtId="0" fontId="37" fillId="3" borderId="5" xfId="0" applyFont="1" applyFill="1" applyBorder="1" applyAlignment="1">
      <alignment horizontal="justify" vertical="center" wrapText="1"/>
    </xf>
    <xf numFmtId="0" fontId="37" fillId="3" borderId="2" xfId="0" applyFont="1" applyFill="1" applyBorder="1" applyAlignment="1">
      <alignment horizontal="justify" vertical="center"/>
    </xf>
    <xf numFmtId="0" fontId="4" fillId="3" borderId="4"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37" fillId="3" borderId="3" xfId="0" applyFont="1" applyFill="1" applyBorder="1" applyAlignment="1">
      <alignment horizontal="justify" vertical="top" wrapText="1"/>
    </xf>
    <xf numFmtId="0" fontId="37" fillId="3" borderId="1" xfId="0" applyFont="1" applyFill="1" applyBorder="1" applyAlignment="1">
      <alignment horizontal="justify" vertical="top"/>
    </xf>
    <xf numFmtId="0" fontId="37" fillId="3" borderId="4" xfId="0" applyFont="1" applyFill="1" applyBorder="1" applyAlignment="1">
      <alignment horizontal="justify" vertical="top"/>
    </xf>
    <xf numFmtId="0" fontId="37" fillId="3" borderId="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4" fillId="3" borderId="5"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4" fillId="3" borderId="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4" fillId="3" borderId="3"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11" fillId="3" borderId="15"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37" fillId="3" borderId="18" xfId="0" applyFont="1" applyFill="1" applyBorder="1" applyAlignment="1">
      <alignment horizontal="justify" vertical="center" wrapText="1"/>
    </xf>
    <xf numFmtId="0" fontId="11" fillId="3" borderId="48"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37" fillId="3" borderId="3" xfId="0" applyFont="1" applyFill="1" applyBorder="1" applyAlignment="1">
      <alignment vertical="top" wrapText="1"/>
    </xf>
    <xf numFmtId="0" fontId="37" fillId="3" borderId="1" xfId="0" applyFont="1" applyFill="1" applyBorder="1" applyAlignment="1">
      <alignment vertical="top"/>
    </xf>
    <xf numFmtId="0" fontId="37" fillId="3" borderId="4" xfId="0" applyFont="1" applyFill="1" applyBorder="1" applyAlignment="1">
      <alignment vertical="top"/>
    </xf>
    <xf numFmtId="0" fontId="27" fillId="3" borderId="3"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3" xfId="0" applyFont="1" applyFill="1" applyBorder="1" applyAlignment="1">
      <alignment horizontal="justify" vertical="center" wrapText="1"/>
    </xf>
    <xf numFmtId="0" fontId="27" fillId="3" borderId="1" xfId="0" applyFont="1" applyFill="1" applyBorder="1" applyAlignment="1">
      <alignment horizontal="justify" vertical="center" wrapText="1"/>
    </xf>
    <xf numFmtId="0" fontId="27" fillId="3" borderId="4" xfId="0" applyFont="1" applyFill="1" applyBorder="1" applyAlignment="1">
      <alignment horizontal="justify" vertical="center" wrapText="1"/>
    </xf>
    <xf numFmtId="0" fontId="27" fillId="3" borderId="10" xfId="0" applyFont="1" applyFill="1" applyBorder="1" applyAlignment="1">
      <alignment horizontal="justify" vertical="center" wrapText="1"/>
    </xf>
    <xf numFmtId="0" fontId="27" fillId="3" borderId="11" xfId="0" applyFont="1" applyFill="1" applyBorder="1" applyAlignment="1">
      <alignment horizontal="justify" vertical="center" wrapText="1"/>
    </xf>
    <xf numFmtId="0" fontId="27" fillId="3" borderId="12" xfId="0" applyFont="1" applyFill="1" applyBorder="1" applyAlignment="1">
      <alignment horizontal="justify" vertical="center" wrapText="1"/>
    </xf>
    <xf numFmtId="0" fontId="37" fillId="3" borderId="1" xfId="0" applyFont="1" applyFill="1" applyBorder="1" applyAlignment="1">
      <alignment horizontal="justify" vertical="center" wrapText="1"/>
    </xf>
    <xf numFmtId="0" fontId="37" fillId="3" borderId="4" xfId="0" applyFont="1" applyFill="1" applyBorder="1" applyAlignment="1">
      <alignment horizontal="justify" vertical="center" wrapText="1"/>
    </xf>
    <xf numFmtId="0" fontId="37" fillId="3" borderId="36" xfId="0" applyFont="1" applyFill="1" applyBorder="1" applyAlignment="1">
      <alignment horizontal="justify" vertical="center" wrapText="1"/>
    </xf>
    <xf numFmtId="0" fontId="37" fillId="3" borderId="21" xfId="0" applyFont="1" applyFill="1" applyBorder="1" applyAlignment="1">
      <alignment horizontal="justify" vertical="center" wrapText="1"/>
    </xf>
    <xf numFmtId="0" fontId="37" fillId="3" borderId="37" xfId="0" applyFont="1" applyFill="1" applyBorder="1" applyAlignment="1">
      <alignment horizontal="justify" vertical="center" wrapText="1"/>
    </xf>
    <xf numFmtId="0" fontId="37" fillId="3" borderId="36" xfId="0" applyFont="1" applyFill="1" applyBorder="1" applyAlignment="1">
      <alignment horizontal="center" vertical="center" wrapText="1"/>
    </xf>
    <xf numFmtId="0" fontId="37" fillId="3" borderId="21" xfId="0" applyFont="1" applyFill="1" applyBorder="1" applyAlignment="1">
      <alignment horizontal="center" vertical="center" wrapText="1"/>
    </xf>
    <xf numFmtId="0" fontId="37" fillId="3" borderId="37" xfId="0" applyFont="1" applyFill="1" applyBorder="1" applyAlignment="1">
      <alignment horizontal="center" vertical="center" wrapText="1"/>
    </xf>
    <xf numFmtId="0" fontId="37" fillId="3" borderId="56" xfId="0" applyFont="1" applyFill="1" applyBorder="1" applyAlignment="1">
      <alignment horizontal="justify" vertical="center" wrapText="1"/>
    </xf>
    <xf numFmtId="0" fontId="37" fillId="3" borderId="20" xfId="0" applyFont="1" applyFill="1" applyBorder="1" applyAlignment="1">
      <alignment horizontal="justify" vertical="center" wrapText="1"/>
    </xf>
    <xf numFmtId="0" fontId="37" fillId="3" borderId="38" xfId="0" applyFont="1" applyFill="1" applyBorder="1" applyAlignment="1">
      <alignment horizontal="justify" vertical="center" wrapText="1"/>
    </xf>
    <xf numFmtId="0" fontId="4" fillId="3" borderId="4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4" fillId="3" borderId="17" xfId="0" applyFont="1" applyFill="1" applyBorder="1" applyAlignment="1">
      <alignment horizontal="justify" vertical="center" wrapText="1"/>
    </xf>
    <xf numFmtId="0" fontId="4" fillId="0" borderId="15" xfId="16" applyFont="1" applyBorder="1"/>
    <xf numFmtId="0" fontId="4" fillId="0" borderId="3" xfId="16" applyFont="1" applyBorder="1"/>
    <xf numFmtId="0" fontId="4" fillId="0" borderId="16" xfId="16" applyFont="1" applyBorder="1"/>
    <xf numFmtId="0" fontId="4" fillId="0" borderId="1" xfId="16" applyFont="1" applyBorder="1"/>
    <xf numFmtId="0" fontId="4" fillId="0" borderId="17" xfId="16" applyFont="1" applyBorder="1"/>
    <xf numFmtId="0" fontId="4" fillId="0" borderId="4" xfId="16" applyFont="1" applyBorder="1"/>
    <xf numFmtId="0" fontId="20" fillId="4" borderId="3"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5" borderId="30" xfId="0" applyFont="1" applyFill="1" applyBorder="1" applyAlignment="1">
      <alignment horizontal="center" vertical="center" wrapText="1"/>
    </xf>
    <xf numFmtId="0" fontId="2" fillId="4" borderId="22" xfId="16" applyFont="1" applyFill="1" applyBorder="1" applyAlignment="1">
      <alignment horizontal="center" vertical="center" wrapText="1"/>
    </xf>
    <xf numFmtId="0" fontId="2" fillId="4" borderId="27" xfId="16" applyFont="1" applyFill="1" applyBorder="1" applyAlignment="1">
      <alignment horizontal="center" vertical="center" wrapText="1"/>
    </xf>
    <xf numFmtId="0" fontId="2" fillId="4" borderId="3" xfId="16" applyFont="1" applyFill="1" applyBorder="1" applyAlignment="1">
      <alignment horizontal="center" vertical="center" wrapText="1"/>
    </xf>
    <xf numFmtId="0" fontId="2" fillId="4" borderId="4" xfId="16" applyFont="1" applyFill="1" applyBorder="1" applyAlignment="1">
      <alignment horizontal="center" vertical="center" wrapText="1"/>
    </xf>
    <xf numFmtId="0" fontId="2" fillId="4" borderId="36" xfId="16" applyFont="1" applyFill="1" applyBorder="1" applyAlignment="1">
      <alignment horizontal="left" vertical="center" wrapText="1"/>
    </xf>
    <xf numFmtId="0" fontId="2" fillId="4" borderId="37" xfId="16" applyFont="1" applyFill="1" applyBorder="1" applyAlignment="1">
      <alignment horizontal="left" vertical="center" wrapText="1"/>
    </xf>
    <xf numFmtId="0" fontId="16" fillId="4" borderId="14" xfId="16" applyFont="1" applyFill="1" applyBorder="1" applyAlignment="1">
      <alignment horizontal="center" vertical="center" wrapText="1"/>
    </xf>
    <xf numFmtId="0" fontId="16" fillId="4" borderId="40" xfId="16" applyFont="1" applyFill="1" applyBorder="1" applyAlignment="1">
      <alignment horizontal="center" vertical="center" wrapText="1"/>
    </xf>
    <xf numFmtId="0" fontId="2" fillId="4" borderId="10" xfId="16" applyFont="1" applyFill="1" applyBorder="1" applyAlignment="1">
      <alignment horizontal="center" vertical="center" wrapText="1"/>
    </xf>
    <xf numFmtId="0" fontId="2" fillId="4" borderId="12" xfId="16" applyFont="1" applyFill="1" applyBorder="1" applyAlignment="1">
      <alignment horizontal="center" vertical="center" wrapText="1"/>
    </xf>
    <xf numFmtId="0" fontId="12" fillId="0" borderId="22" xfId="16" applyFont="1" applyFill="1" applyBorder="1" applyAlignment="1">
      <alignment horizontal="center" vertical="center" wrapText="1"/>
    </xf>
    <xf numFmtId="0" fontId="12" fillId="0" borderId="25" xfId="16" applyFont="1" applyFill="1" applyBorder="1" applyAlignment="1">
      <alignment horizontal="center" vertical="center" wrapText="1"/>
    </xf>
    <xf numFmtId="0" fontId="12" fillId="0" borderId="59" xfId="16" applyFont="1" applyFill="1" applyBorder="1" applyAlignment="1">
      <alignment horizontal="center" vertical="center" wrapText="1"/>
    </xf>
    <xf numFmtId="0" fontId="12" fillId="0" borderId="13" xfId="16" applyFont="1" applyFill="1" applyBorder="1" applyAlignment="1">
      <alignment horizontal="center" vertical="center" wrapText="1"/>
    </xf>
    <xf numFmtId="0" fontId="12" fillId="0" borderId="36" xfId="16" applyFont="1" applyFill="1" applyBorder="1" applyAlignment="1">
      <alignment horizontal="left" vertical="center" wrapText="1"/>
    </xf>
    <xf numFmtId="0" fontId="12" fillId="0" borderId="5" xfId="16" applyFont="1" applyFill="1" applyBorder="1" applyAlignment="1">
      <alignment horizontal="left" vertical="center" wrapText="1"/>
    </xf>
    <xf numFmtId="0" fontId="16" fillId="0" borderId="3"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10" fontId="41" fillId="0" borderId="36" xfId="0" applyNumberFormat="1" applyFont="1" applyFill="1" applyBorder="1" applyAlignment="1" applyProtection="1">
      <alignment horizontal="center" vertical="center" wrapText="1"/>
      <protection locked="0"/>
    </xf>
    <xf numFmtId="10" fontId="41" fillId="0" borderId="21" xfId="0" applyNumberFormat="1" applyFont="1" applyFill="1" applyBorder="1" applyAlignment="1" applyProtection="1">
      <alignment horizontal="center" vertical="center" wrapText="1"/>
      <protection locked="0"/>
    </xf>
    <xf numFmtId="10" fontId="17" fillId="0" borderId="3" xfId="0" applyNumberFormat="1" applyFont="1" applyFill="1" applyBorder="1" applyAlignment="1" applyProtection="1">
      <alignment horizontal="center" vertical="center" wrapText="1"/>
      <protection locked="0"/>
    </xf>
    <xf numFmtId="10" fontId="17" fillId="0" borderId="2" xfId="0" applyNumberFormat="1" applyFont="1" applyFill="1" applyBorder="1" applyAlignment="1" applyProtection="1">
      <alignment horizontal="center" vertical="center" wrapText="1"/>
      <protection locked="0"/>
    </xf>
    <xf numFmtId="0" fontId="12" fillId="3" borderId="56" xfId="16" applyFont="1" applyFill="1" applyBorder="1" applyAlignment="1">
      <alignment horizontal="justify" vertical="top" wrapText="1"/>
    </xf>
    <xf numFmtId="0" fontId="12" fillId="3" borderId="20" xfId="16" applyFont="1" applyFill="1" applyBorder="1" applyAlignment="1">
      <alignment horizontal="justify" vertical="top" wrapText="1"/>
    </xf>
    <xf numFmtId="0" fontId="12" fillId="3" borderId="11" xfId="16" applyFont="1" applyFill="1" applyBorder="1" applyAlignment="1">
      <alignment horizontal="justify" vertical="top" wrapText="1"/>
    </xf>
    <xf numFmtId="0" fontId="12" fillId="0" borderId="1" xfId="16" applyFont="1" applyFill="1" applyBorder="1" applyAlignment="1">
      <alignment horizontal="left" vertical="center" wrapText="1"/>
    </xf>
    <xf numFmtId="0" fontId="16" fillId="0" borderId="1" xfId="0" applyFont="1" applyBorder="1" applyAlignment="1" applyProtection="1">
      <alignment horizontal="center" vertical="center" wrapText="1"/>
      <protection locked="0"/>
    </xf>
    <xf numFmtId="10" fontId="41" fillId="0" borderId="1" xfId="0" applyNumberFormat="1" applyFont="1" applyFill="1" applyBorder="1" applyAlignment="1" applyProtection="1">
      <alignment horizontal="center" vertical="center" wrapText="1"/>
      <protection locked="0"/>
    </xf>
    <xf numFmtId="0" fontId="12" fillId="0" borderId="11" xfId="16" applyFont="1" applyFill="1" applyBorder="1" applyAlignment="1">
      <alignment horizontal="justify" vertical="top" wrapText="1"/>
    </xf>
    <xf numFmtId="0" fontId="12" fillId="0" borderId="11" xfId="16" applyFont="1" applyFill="1" applyBorder="1" applyAlignment="1">
      <alignment horizontal="justify" vertical="top"/>
    </xf>
    <xf numFmtId="0" fontId="12" fillId="0" borderId="16" xfId="16" applyFont="1" applyFill="1" applyBorder="1" applyAlignment="1">
      <alignment horizontal="center" vertical="center" wrapText="1"/>
    </xf>
    <xf numFmtId="0" fontId="12" fillId="0" borderId="41" xfId="16" applyFont="1" applyFill="1" applyBorder="1" applyAlignment="1">
      <alignment horizontal="center" vertical="center" wrapText="1"/>
    </xf>
    <xf numFmtId="0" fontId="16" fillId="0" borderId="5" xfId="0" applyFont="1" applyBorder="1" applyAlignment="1" applyProtection="1">
      <alignment horizontal="center" vertical="center" wrapText="1"/>
      <protection locked="0"/>
    </xf>
    <xf numFmtId="10" fontId="41" fillId="0" borderId="5" xfId="0" applyNumberFormat="1" applyFont="1" applyFill="1" applyBorder="1" applyAlignment="1" applyProtection="1">
      <alignment horizontal="center" vertical="center" wrapText="1"/>
      <protection locked="0"/>
    </xf>
    <xf numFmtId="10" fontId="17" fillId="0" borderId="21" xfId="0" applyNumberFormat="1" applyFont="1" applyFill="1" applyBorder="1" applyAlignment="1" applyProtection="1">
      <alignment horizontal="center" vertical="center" wrapText="1"/>
      <protection locked="0"/>
    </xf>
    <xf numFmtId="10" fontId="17" fillId="0" borderId="5" xfId="0" applyNumberFormat="1" applyFont="1" applyFill="1" applyBorder="1" applyAlignment="1" applyProtection="1">
      <alignment horizontal="center" vertical="center" wrapText="1"/>
      <protection locked="0"/>
    </xf>
    <xf numFmtId="0" fontId="12" fillId="3" borderId="18" xfId="16" applyFont="1" applyFill="1" applyBorder="1" applyAlignment="1">
      <alignment horizontal="justify" vertical="top" wrapText="1"/>
    </xf>
    <xf numFmtId="0" fontId="12" fillId="3" borderId="52" xfId="16" applyFont="1" applyFill="1" applyBorder="1" applyAlignment="1">
      <alignment horizontal="justify" vertical="top" wrapText="1"/>
    </xf>
    <xf numFmtId="10" fontId="41" fillId="0" borderId="2" xfId="0" applyNumberFormat="1" applyFont="1" applyFill="1" applyBorder="1" applyAlignment="1" applyProtection="1">
      <alignment horizontal="center" vertical="center" wrapText="1"/>
      <protection locked="0"/>
    </xf>
    <xf numFmtId="0" fontId="12" fillId="0" borderId="19" xfId="16" applyFont="1" applyFill="1" applyBorder="1" applyAlignment="1">
      <alignment horizontal="center" vertical="center" wrapText="1"/>
    </xf>
    <xf numFmtId="10" fontId="17" fillId="0" borderId="1" xfId="0" applyNumberFormat="1" applyFont="1" applyFill="1" applyBorder="1" applyAlignment="1" applyProtection="1">
      <alignment horizontal="center" vertical="center" wrapText="1"/>
      <protection locked="0"/>
    </xf>
    <xf numFmtId="0" fontId="12" fillId="3" borderId="11" xfId="16" applyFont="1" applyFill="1" applyBorder="1" applyAlignment="1">
      <alignment horizontal="justify" vertical="top"/>
    </xf>
    <xf numFmtId="0" fontId="12" fillId="3" borderId="18" xfId="16" applyFont="1" applyFill="1" applyBorder="1" applyAlignment="1">
      <alignment horizontal="justify" vertical="top"/>
    </xf>
    <xf numFmtId="0" fontId="12" fillId="0" borderId="15" xfId="16" applyFont="1" applyFill="1" applyBorder="1" applyAlignment="1">
      <alignment horizontal="center" vertical="center" wrapText="1"/>
    </xf>
    <xf numFmtId="0" fontId="12" fillId="0" borderId="3"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12" fillId="0" borderId="3" xfId="16" applyFont="1" applyFill="1" applyBorder="1" applyAlignment="1">
      <alignment horizontal="left" vertical="center" wrapText="1"/>
    </xf>
    <xf numFmtId="10" fontId="41" fillId="0" borderId="3" xfId="0" applyNumberFormat="1" applyFont="1" applyFill="1" applyBorder="1" applyAlignment="1" applyProtection="1">
      <alignment horizontal="center" vertical="center" wrapText="1"/>
      <protection locked="0"/>
    </xf>
    <xf numFmtId="0" fontId="12" fillId="0" borderId="10" xfId="16" applyFont="1" applyFill="1" applyBorder="1" applyAlignment="1">
      <alignment horizontal="justify" vertical="top" wrapText="1"/>
    </xf>
    <xf numFmtId="0" fontId="12" fillId="0" borderId="2" xfId="16" applyFont="1" applyFill="1" applyBorder="1" applyAlignment="1">
      <alignment horizontal="left" vertical="center" wrapText="1"/>
    </xf>
    <xf numFmtId="0" fontId="16" fillId="3" borderId="1"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10" fontId="17" fillId="3" borderId="1" xfId="0" applyNumberFormat="1" applyFont="1" applyFill="1" applyBorder="1" applyAlignment="1" applyProtection="1">
      <alignment horizontal="center" vertical="center" wrapText="1"/>
      <protection locked="0"/>
    </xf>
    <xf numFmtId="10" fontId="17" fillId="3" borderId="2" xfId="0" applyNumberFormat="1" applyFont="1" applyFill="1" applyBorder="1" applyAlignment="1" applyProtection="1">
      <alignment horizontal="center" vertical="center" wrapText="1"/>
      <protection locked="0"/>
    </xf>
    <xf numFmtId="0" fontId="12" fillId="0" borderId="11" xfId="16" applyFont="1" applyFill="1" applyBorder="1" applyAlignment="1">
      <alignment horizontal="left" vertical="top" wrapText="1"/>
    </xf>
    <xf numFmtId="0" fontId="12" fillId="0" borderId="18" xfId="16" applyFont="1" applyFill="1" applyBorder="1" applyAlignment="1">
      <alignment horizontal="left" vertical="top" wrapText="1"/>
    </xf>
    <xf numFmtId="0" fontId="12" fillId="0" borderId="52" xfId="16" applyFont="1" applyFill="1" applyBorder="1" applyAlignment="1">
      <alignment horizontal="left" vertical="top" wrapText="1"/>
    </xf>
    <xf numFmtId="0" fontId="12" fillId="0" borderId="18" xfId="16" applyFont="1" applyFill="1" applyBorder="1" applyAlignment="1">
      <alignment horizontal="justify" vertical="top" wrapText="1"/>
    </xf>
    <xf numFmtId="0" fontId="12" fillId="0" borderId="52" xfId="16" applyFont="1" applyFill="1" applyBorder="1" applyAlignment="1">
      <alignment horizontal="justify" vertical="top" wrapText="1"/>
    </xf>
    <xf numFmtId="0" fontId="12" fillId="0" borderId="18" xfId="16" applyFont="1" applyFill="1" applyBorder="1" applyAlignment="1">
      <alignment vertical="top" wrapText="1"/>
    </xf>
    <xf numFmtId="0" fontId="12" fillId="0" borderId="52" xfId="16" applyFont="1" applyFill="1" applyBorder="1" applyAlignment="1">
      <alignment vertical="top" wrapText="1"/>
    </xf>
    <xf numFmtId="0" fontId="28" fillId="0" borderId="52" xfId="0" applyFont="1" applyFill="1" applyBorder="1" applyAlignment="1">
      <alignment horizontal="justify" vertical="top"/>
    </xf>
    <xf numFmtId="0" fontId="12" fillId="0" borderId="2" xfId="16" applyFont="1" applyFill="1" applyBorder="1" applyAlignment="1">
      <alignment horizontal="center" vertical="center" wrapText="1"/>
    </xf>
    <xf numFmtId="0" fontId="28" fillId="0" borderId="38" xfId="0" applyFont="1" applyFill="1" applyBorder="1" applyAlignment="1">
      <alignment horizontal="justify" vertical="top"/>
    </xf>
    <xf numFmtId="10" fontId="17" fillId="0" borderId="11" xfId="0" applyNumberFormat="1" applyFont="1" applyFill="1" applyBorder="1" applyAlignment="1" applyProtection="1">
      <alignment horizontal="center" vertical="center" wrapText="1"/>
      <protection locked="0"/>
    </xf>
    <xf numFmtId="10" fontId="17" fillId="0" borderId="12" xfId="0" applyNumberFormat="1" applyFont="1" applyFill="1" applyBorder="1" applyAlignment="1" applyProtection="1">
      <alignment horizontal="center" vertical="center" wrapText="1"/>
      <protection locked="0"/>
    </xf>
    <xf numFmtId="0" fontId="12" fillId="3" borderId="47" xfId="16" applyFont="1" applyFill="1" applyBorder="1" applyAlignment="1">
      <alignment horizontal="justify" vertical="center" wrapText="1"/>
    </xf>
    <xf numFmtId="0" fontId="12" fillId="3" borderId="60" xfId="16" applyFont="1" applyFill="1" applyBorder="1" applyAlignment="1">
      <alignment horizontal="justify" vertical="center"/>
    </xf>
    <xf numFmtId="0" fontId="2" fillId="4" borderId="61" xfId="16" applyFont="1" applyFill="1" applyBorder="1" applyAlignment="1">
      <alignment horizontal="center" vertical="center" wrapText="1"/>
    </xf>
    <xf numFmtId="0" fontId="2" fillId="4" borderId="37" xfId="16" applyFont="1" applyFill="1" applyBorder="1" applyAlignment="1">
      <alignment horizontal="center" vertical="center" wrapText="1"/>
    </xf>
    <xf numFmtId="0" fontId="12" fillId="3" borderId="1" xfId="16" applyFont="1" applyFill="1" applyBorder="1" applyAlignment="1">
      <alignment horizontal="left" vertical="top" wrapText="1"/>
    </xf>
    <xf numFmtId="0" fontId="12" fillId="0" borderId="17" xfId="16" applyFont="1" applyFill="1" applyBorder="1" applyAlignment="1">
      <alignment horizontal="center" vertical="center" wrapText="1"/>
    </xf>
    <xf numFmtId="10" fontId="17" fillId="0" borderId="10" xfId="0" applyNumberFormat="1" applyFont="1" applyFill="1" applyBorder="1" applyAlignment="1" applyProtection="1">
      <alignment horizontal="center" vertical="center" wrapText="1"/>
      <protection locked="0"/>
    </xf>
    <xf numFmtId="0" fontId="12" fillId="3" borderId="2" xfId="16" applyFont="1" applyFill="1" applyBorder="1" applyAlignment="1">
      <alignment horizontal="justify" vertical="center" wrapText="1"/>
    </xf>
    <xf numFmtId="0" fontId="12" fillId="3" borderId="5" xfId="16" applyFont="1" applyFill="1" applyBorder="1" applyAlignment="1">
      <alignment horizontal="justify" vertical="center"/>
    </xf>
    <xf numFmtId="0" fontId="12" fillId="0" borderId="4" xfId="16" applyFont="1" applyFill="1" applyBorder="1" applyAlignment="1">
      <alignment horizontal="center" vertical="center" wrapText="1"/>
    </xf>
    <xf numFmtId="0" fontId="12" fillId="0" borderId="4" xfId="16" applyFont="1" applyFill="1" applyBorder="1" applyAlignment="1">
      <alignment horizontal="left" vertical="center" wrapText="1"/>
    </xf>
    <xf numFmtId="10" fontId="41" fillId="0" borderId="4" xfId="0" applyNumberFormat="1" applyFont="1" applyFill="1" applyBorder="1" applyAlignment="1" applyProtection="1">
      <alignment horizontal="center" vertical="center" wrapText="1"/>
      <protection locked="0"/>
    </xf>
    <xf numFmtId="0" fontId="12" fillId="3" borderId="25" xfId="16" applyFont="1" applyFill="1" applyBorder="1" applyAlignment="1">
      <alignment horizontal="left" vertical="top" wrapText="1"/>
    </xf>
    <xf numFmtId="10" fontId="17" fillId="0" borderId="8" xfId="0" applyNumberFormat="1" applyFont="1" applyFill="1" applyBorder="1" applyAlignment="1" applyProtection="1">
      <alignment horizontal="center" vertical="center" wrapText="1"/>
      <protection locked="0"/>
    </xf>
    <xf numFmtId="10" fontId="17" fillId="0" borderId="34" xfId="0" applyNumberFormat="1" applyFont="1" applyFill="1" applyBorder="1" applyAlignment="1" applyProtection="1">
      <alignment horizontal="center" vertical="center" wrapText="1"/>
      <protection locked="0"/>
    </xf>
    <xf numFmtId="0" fontId="11" fillId="0" borderId="0" xfId="19" applyFont="1" applyAlignment="1">
      <alignment horizontal="right"/>
    </xf>
    <xf numFmtId="0" fontId="19" fillId="7" borderId="16" xfId="19" applyFont="1" applyFill="1" applyBorder="1" applyAlignment="1">
      <alignment horizontal="center" vertical="center" wrapText="1"/>
    </xf>
    <xf numFmtId="0" fontId="19" fillId="7" borderId="1" xfId="19" applyFont="1" applyFill="1" applyBorder="1" applyAlignment="1">
      <alignment horizontal="center" vertical="center" wrapText="1"/>
    </xf>
    <xf numFmtId="0" fontId="19" fillId="7" borderId="1" xfId="26" applyFont="1" applyFill="1" applyBorder="1" applyAlignment="1">
      <alignment horizontal="center" vertical="center" wrapText="1"/>
    </xf>
    <xf numFmtId="0" fontId="4" fillId="0" borderId="11" xfId="19" applyBorder="1" applyAlignment="1">
      <alignment horizontal="center" wrapText="1"/>
    </xf>
    <xf numFmtId="0" fontId="2" fillId="5" borderId="28" xfId="19" applyFont="1" applyFill="1" applyBorder="1" applyAlignment="1">
      <alignment horizontal="right"/>
    </xf>
    <xf numFmtId="0" fontId="2" fillId="5" borderId="55" xfId="19" applyFont="1" applyFill="1" applyBorder="1" applyAlignment="1">
      <alignment horizontal="right"/>
    </xf>
    <xf numFmtId="0" fontId="10" fillId="0" borderId="23" xfId="19" applyFont="1" applyBorder="1" applyAlignment="1">
      <alignment horizontal="center" vertical="center"/>
    </xf>
    <xf numFmtId="3" fontId="12" fillId="0" borderId="1" xfId="26" applyNumberFormat="1" applyFont="1" applyFill="1" applyBorder="1" applyAlignment="1">
      <alignment horizontal="center" vertical="center" wrapText="1"/>
    </xf>
    <xf numFmtId="3" fontId="12" fillId="0" borderId="11" xfId="26" applyNumberFormat="1" applyFont="1" applyFill="1" applyBorder="1" applyAlignment="1">
      <alignment horizontal="center" vertical="center" wrapText="1"/>
    </xf>
    <xf numFmtId="0" fontId="19" fillId="0" borderId="1" xfId="26" applyFont="1" applyFill="1" applyBorder="1" applyAlignment="1">
      <alignment horizontal="center" vertical="center" wrapText="1"/>
    </xf>
    <xf numFmtId="1" fontId="23" fillId="0" borderId="11" xfId="0" applyNumberFormat="1" applyFont="1" applyFill="1" applyBorder="1" applyAlignment="1">
      <alignment horizontal="center" vertical="center" wrapText="1"/>
    </xf>
    <xf numFmtId="0" fontId="19" fillId="0" borderId="16" xfId="19" applyFont="1" applyFill="1" applyBorder="1" applyAlignment="1">
      <alignment horizontal="center" vertical="center" wrapText="1"/>
    </xf>
    <xf numFmtId="0" fontId="19" fillId="0" borderId="1" xfId="19" applyFont="1" applyFill="1" applyBorder="1" applyAlignment="1">
      <alignment horizontal="center" vertical="center" wrapText="1"/>
    </xf>
    <xf numFmtId="1" fontId="23" fillId="0" borderId="1" xfId="0" applyNumberFormat="1" applyFont="1" applyFill="1" applyBorder="1" applyAlignment="1">
      <alignment horizontal="center" vertical="center" wrapText="1"/>
    </xf>
    <xf numFmtId="3" fontId="19" fillId="0" borderId="1" xfId="26"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4" fillId="5" borderId="2" xfId="19" applyFill="1" applyBorder="1" applyAlignment="1">
      <alignment horizontal="center" vertical="center" wrapText="1"/>
    </xf>
    <xf numFmtId="0" fontId="4" fillId="5" borderId="21" xfId="19" applyFill="1" applyBorder="1" applyAlignment="1">
      <alignment horizontal="center" vertical="center" wrapText="1"/>
    </xf>
    <xf numFmtId="0" fontId="4" fillId="5" borderId="5" xfId="19" applyFill="1" applyBorder="1" applyAlignment="1">
      <alignment horizontal="center" vertical="center" wrapText="1"/>
    </xf>
    <xf numFmtId="0" fontId="4" fillId="0" borderId="2" xfId="19" applyBorder="1" applyAlignment="1">
      <alignment horizontal="center" vertical="center" wrapText="1"/>
    </xf>
    <xf numFmtId="0" fontId="4" fillId="0" borderId="21" xfId="19" applyBorder="1" applyAlignment="1">
      <alignment horizontal="center" vertical="center" wrapText="1"/>
    </xf>
    <xf numFmtId="0" fontId="4" fillId="0" borderId="5" xfId="19" applyBorder="1" applyAlignment="1">
      <alignment horizontal="center" vertical="center" wrapText="1"/>
    </xf>
    <xf numFmtId="0" fontId="19" fillId="5" borderId="16" xfId="19" applyFont="1" applyFill="1" applyBorder="1" applyAlignment="1">
      <alignment horizontal="center" vertical="center" wrapText="1"/>
    </xf>
    <xf numFmtId="0" fontId="19" fillId="5" borderId="1" xfId="19" applyFont="1" applyFill="1" applyBorder="1" applyAlignment="1">
      <alignment horizontal="center" vertical="center" wrapText="1"/>
    </xf>
    <xf numFmtId="0" fontId="19" fillId="5" borderId="1" xfId="26" applyFont="1" applyFill="1" applyBorder="1" applyAlignment="1">
      <alignment horizontal="center" vertical="center" wrapText="1"/>
    </xf>
    <xf numFmtId="0" fontId="12" fillId="0" borderId="1" xfId="26" applyFont="1" applyFill="1" applyBorder="1" applyAlignment="1">
      <alignment horizontal="center" vertical="center" wrapText="1"/>
    </xf>
    <xf numFmtId="0" fontId="12" fillId="0" borderId="8" xfId="26" applyFont="1" applyFill="1" applyBorder="1" applyAlignment="1">
      <alignment horizontal="center" vertical="center" wrapText="1"/>
    </xf>
    <xf numFmtId="0" fontId="4" fillId="0" borderId="2" xfId="19" applyFill="1" applyBorder="1" applyAlignment="1">
      <alignment horizontal="center" vertical="center" wrapText="1"/>
    </xf>
    <xf numFmtId="0" fontId="4" fillId="0" borderId="21" xfId="19" applyFill="1" applyBorder="1" applyAlignment="1">
      <alignment horizontal="center" vertical="center" wrapText="1"/>
    </xf>
    <xf numFmtId="0" fontId="4" fillId="0" borderId="5" xfId="19" applyFill="1" applyBorder="1" applyAlignment="1">
      <alignment horizontal="center" vertical="center" wrapText="1"/>
    </xf>
    <xf numFmtId="0" fontId="4" fillId="0" borderId="11" xfId="19" applyFill="1" applyBorder="1" applyAlignment="1">
      <alignment horizontal="center" wrapText="1"/>
    </xf>
    <xf numFmtId="0" fontId="19" fillId="0" borderId="8" xfId="26" applyFont="1" applyFill="1" applyBorder="1" applyAlignment="1">
      <alignment horizontal="center" vertical="center" wrapText="1"/>
    </xf>
    <xf numFmtId="37" fontId="44" fillId="0" borderId="2" xfId="10" applyNumberFormat="1" applyFont="1" applyFill="1" applyBorder="1" applyAlignment="1">
      <alignment horizontal="center" vertical="center" wrapText="1"/>
    </xf>
    <xf numFmtId="0" fontId="0" fillId="0" borderId="21" xfId="0" applyFill="1" applyBorder="1" applyAlignment="1">
      <alignment horizontal="center" vertical="center" wrapText="1"/>
    </xf>
    <xf numFmtId="39" fontId="45" fillId="0" borderId="2" xfId="10" applyNumberFormat="1" applyFont="1" applyFill="1" applyBorder="1" applyAlignment="1">
      <alignment horizontal="center" vertical="center" wrapText="1"/>
    </xf>
    <xf numFmtId="0" fontId="19" fillId="0" borderId="19" xfId="19" applyFont="1" applyFill="1" applyBorder="1" applyAlignment="1">
      <alignment horizontal="center" vertical="center" wrapText="1"/>
    </xf>
    <xf numFmtId="0" fontId="19" fillId="0" borderId="13" xfId="19" applyFont="1" applyFill="1" applyBorder="1" applyAlignment="1">
      <alignment horizontal="center" vertical="center" wrapText="1"/>
    </xf>
    <xf numFmtId="0" fontId="19" fillId="0" borderId="41" xfId="19" applyFont="1" applyFill="1" applyBorder="1" applyAlignment="1">
      <alignment horizontal="center" vertical="center" wrapText="1"/>
    </xf>
    <xf numFmtId="0" fontId="4" fillId="3" borderId="2" xfId="19" applyFill="1" applyBorder="1" applyAlignment="1">
      <alignment horizontal="center" vertical="center" wrapText="1"/>
    </xf>
    <xf numFmtId="0" fontId="4" fillId="3" borderId="21" xfId="19" applyFill="1" applyBorder="1" applyAlignment="1">
      <alignment horizontal="center" vertical="center" wrapText="1"/>
    </xf>
    <xf numFmtId="0" fontId="0" fillId="3" borderId="21" xfId="0" applyFill="1" applyBorder="1" applyAlignment="1">
      <alignment horizontal="center" vertical="center" wrapText="1"/>
    </xf>
    <xf numFmtId="0" fontId="0" fillId="3" borderId="21" xfId="0" applyFill="1" applyBorder="1" applyAlignment="1"/>
    <xf numFmtId="0" fontId="0" fillId="3" borderId="5" xfId="0" applyFill="1" applyBorder="1" applyAlignment="1"/>
    <xf numFmtId="3" fontId="4" fillId="3" borderId="2" xfId="19" applyNumberFormat="1" applyFill="1" applyBorder="1" applyAlignment="1">
      <alignment horizontal="center" vertical="center" wrapText="1"/>
    </xf>
    <xf numFmtId="3" fontId="4" fillId="3" borderId="21" xfId="19" applyNumberFormat="1" applyFill="1" applyBorder="1" applyAlignment="1">
      <alignment horizontal="center" vertical="center" wrapText="1"/>
    </xf>
    <xf numFmtId="3" fontId="0" fillId="3" borderId="21" xfId="0" applyNumberFormat="1" applyFill="1" applyBorder="1" applyAlignment="1">
      <alignment horizontal="center" vertical="center" wrapText="1"/>
    </xf>
    <xf numFmtId="170" fontId="19" fillId="5" borderId="19" xfId="19" applyNumberFormat="1" applyFont="1" applyFill="1" applyBorder="1" applyAlignment="1">
      <alignment horizontal="center" vertical="center" wrapText="1"/>
    </xf>
    <xf numFmtId="0" fontId="0" fillId="0" borderId="41" xfId="0" applyBorder="1" applyAlignment="1">
      <alignment horizontal="center" vertical="center" wrapText="1"/>
    </xf>
    <xf numFmtId="4" fontId="36" fillId="0" borderId="2" xfId="0" applyNumberFormat="1" applyFont="1" applyFill="1" applyBorder="1" applyAlignment="1">
      <alignment horizontal="center" vertical="center" wrapText="1"/>
    </xf>
    <xf numFmtId="4" fontId="36" fillId="0" borderId="5" xfId="0" applyNumberFormat="1" applyFont="1" applyFill="1" applyBorder="1" applyAlignment="1">
      <alignment horizontal="center" vertical="center" wrapText="1"/>
    </xf>
    <xf numFmtId="0" fontId="4" fillId="3" borderId="5" xfId="19" applyFill="1" applyBorder="1" applyAlignment="1">
      <alignment horizontal="center" vertical="center" wrapText="1"/>
    </xf>
    <xf numFmtId="3" fontId="4" fillId="3" borderId="5" xfId="19" applyNumberFormat="1" applyFill="1" applyBorder="1" applyAlignment="1">
      <alignment horizontal="center" vertical="center" wrapText="1"/>
    </xf>
    <xf numFmtId="0" fontId="4" fillId="0" borderId="18" xfId="19" applyBorder="1" applyAlignment="1">
      <alignment horizontal="center" vertical="center" wrapText="1"/>
    </xf>
    <xf numFmtId="0" fontId="4" fillId="0" borderId="20" xfId="19" applyBorder="1" applyAlignment="1">
      <alignment horizontal="center" vertical="center" wrapText="1"/>
    </xf>
    <xf numFmtId="0" fontId="4" fillId="0" borderId="52" xfId="19" applyBorder="1" applyAlignment="1">
      <alignment horizontal="center" vertical="center" wrapText="1"/>
    </xf>
    <xf numFmtId="0" fontId="19" fillId="0" borderId="18" xfId="26" applyFont="1" applyFill="1" applyBorder="1" applyAlignment="1">
      <alignment horizontal="center" vertical="center" wrapText="1"/>
    </xf>
    <xf numFmtId="0" fontId="0" fillId="0" borderId="20" xfId="0" applyBorder="1" applyAlignment="1">
      <alignment horizontal="center" vertical="center" wrapText="1"/>
    </xf>
    <xf numFmtId="0" fontId="0" fillId="0" borderId="52" xfId="0" applyBorder="1" applyAlignment="1">
      <alignment horizontal="center" vertical="center" wrapText="1"/>
    </xf>
    <xf numFmtId="4" fontId="36"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4" fillId="3" borderId="2" xfId="19" applyFill="1" applyBorder="1" applyAlignment="1">
      <alignment horizontal="center" vertical="center"/>
    </xf>
    <xf numFmtId="0" fontId="19" fillId="0" borderId="2" xfId="19" applyFont="1" applyFill="1" applyBorder="1" applyAlignment="1">
      <alignment horizontal="center" vertical="center" wrapText="1"/>
    </xf>
    <xf numFmtId="0" fontId="0" fillId="0" borderId="21"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19" fillId="5" borderId="1" xfId="19" applyFont="1" applyFill="1" applyBorder="1" applyAlignment="1">
      <alignment horizontal="left" vertical="center" wrapText="1"/>
    </xf>
    <xf numFmtId="0" fontId="0" fillId="0" borderId="1" xfId="0" applyBorder="1" applyAlignment="1">
      <alignment vertical="center" wrapText="1"/>
    </xf>
    <xf numFmtId="1" fontId="23" fillId="0" borderId="2" xfId="0" applyNumberFormat="1" applyFont="1" applyFill="1" applyBorder="1" applyAlignment="1">
      <alignment horizontal="center" vertical="center" wrapText="1"/>
    </xf>
    <xf numFmtId="1" fontId="23" fillId="0" borderId="21" xfId="0" applyNumberFormat="1" applyFont="1" applyFill="1" applyBorder="1" applyAlignment="1">
      <alignment horizontal="center" vertical="center" wrapText="1"/>
    </xf>
    <xf numFmtId="1" fontId="23" fillId="0" borderId="5" xfId="0" applyNumberFormat="1" applyFont="1" applyFill="1" applyBorder="1" applyAlignment="1">
      <alignment horizontal="center" vertical="center" wrapText="1"/>
    </xf>
    <xf numFmtId="1" fontId="23" fillId="0" borderId="18" xfId="0" applyNumberFormat="1" applyFont="1" applyFill="1" applyBorder="1" applyAlignment="1">
      <alignment horizontal="center" vertical="center" wrapText="1"/>
    </xf>
    <xf numFmtId="1" fontId="23" fillId="0" borderId="20" xfId="0" applyNumberFormat="1" applyFont="1" applyFill="1" applyBorder="1" applyAlignment="1">
      <alignment horizontal="center" vertical="center" wrapText="1"/>
    </xf>
    <xf numFmtId="1" fontId="23" fillId="0" borderId="52" xfId="0" applyNumberFormat="1" applyFont="1" applyFill="1" applyBorder="1" applyAlignment="1">
      <alignment horizontal="center" vertical="center" wrapText="1"/>
    </xf>
    <xf numFmtId="3" fontId="12" fillId="0" borderId="2" xfId="26" applyNumberFormat="1" applyFont="1" applyFill="1" applyBorder="1" applyAlignment="1">
      <alignment horizontal="center" vertical="center" wrapText="1"/>
    </xf>
    <xf numFmtId="3" fontId="12" fillId="0" borderId="21" xfId="26" applyNumberFormat="1" applyFont="1" applyFill="1" applyBorder="1" applyAlignment="1">
      <alignment horizontal="center" vertical="center" wrapText="1"/>
    </xf>
    <xf numFmtId="3" fontId="12" fillId="0" borderId="5" xfId="26" applyNumberFormat="1" applyFont="1" applyFill="1" applyBorder="1" applyAlignment="1">
      <alignment horizontal="center" vertical="center" wrapText="1"/>
    </xf>
    <xf numFmtId="3" fontId="30" fillId="0" borderId="2" xfId="26" applyNumberFormat="1" applyFont="1" applyFill="1" applyBorder="1" applyAlignment="1">
      <alignment horizontal="center" vertical="center" wrapText="1"/>
    </xf>
    <xf numFmtId="3" fontId="30" fillId="0" borderId="21" xfId="26" applyNumberFormat="1" applyFont="1" applyFill="1" applyBorder="1" applyAlignment="1">
      <alignment horizontal="center" vertical="center" wrapText="1"/>
    </xf>
    <xf numFmtId="3" fontId="30" fillId="0" borderId="5" xfId="26" applyNumberFormat="1" applyFont="1" applyFill="1" applyBorder="1" applyAlignment="1">
      <alignment horizontal="center" vertical="center" wrapText="1"/>
    </xf>
    <xf numFmtId="3" fontId="30" fillId="0" borderId="1" xfId="26" applyNumberFormat="1" applyFont="1" applyFill="1" applyBorder="1" applyAlignment="1">
      <alignment horizontal="center" vertical="center" wrapText="1"/>
    </xf>
    <xf numFmtId="0" fontId="19" fillId="10" borderId="5" xfId="19" applyFont="1" applyFill="1" applyBorder="1" applyAlignment="1">
      <alignment horizontal="center" vertical="center" wrapText="1"/>
    </xf>
    <xf numFmtId="0" fontId="19" fillId="10" borderId="1" xfId="19" applyFont="1" applyFill="1" applyBorder="1" applyAlignment="1">
      <alignment horizontal="center" vertical="center" wrapText="1"/>
    </xf>
    <xf numFmtId="3" fontId="12" fillId="0" borderId="34" xfId="26" applyNumberFormat="1" applyFont="1" applyFill="1" applyBorder="1" applyAlignment="1">
      <alignment horizontal="center" vertical="center" wrapText="1"/>
    </xf>
    <xf numFmtId="0" fontId="4" fillId="0" borderId="1" xfId="19" applyBorder="1" applyAlignment="1">
      <alignment horizontal="center" vertical="center" wrapText="1"/>
    </xf>
    <xf numFmtId="0" fontId="19" fillId="0" borderId="4" xfId="26" applyFont="1" applyFill="1" applyBorder="1" applyAlignment="1">
      <alignment horizontal="center" vertical="center" wrapText="1"/>
    </xf>
    <xf numFmtId="0" fontId="19" fillId="0" borderId="15" xfId="19" applyFont="1" applyFill="1" applyBorder="1" applyAlignment="1">
      <alignment horizontal="center" vertical="center" wrapText="1"/>
    </xf>
    <xf numFmtId="0" fontId="19" fillId="0" borderId="17" xfId="19" applyFont="1" applyFill="1" applyBorder="1" applyAlignment="1">
      <alignment horizontal="center" vertical="center" wrapText="1"/>
    </xf>
    <xf numFmtId="0" fontId="19" fillId="0" borderId="3" xfId="19" applyFont="1" applyFill="1" applyBorder="1" applyAlignment="1">
      <alignment horizontal="center" vertical="center" wrapText="1"/>
    </xf>
    <xf numFmtId="0" fontId="19" fillId="0" borderId="4" xfId="19" applyFont="1" applyFill="1" applyBorder="1" applyAlignment="1">
      <alignment horizontal="center" vertical="center" wrapText="1"/>
    </xf>
    <xf numFmtId="0" fontId="19" fillId="0" borderId="3" xfId="26" applyFont="1" applyFill="1" applyBorder="1" applyAlignment="1">
      <alignment horizontal="center" vertical="center" wrapText="1"/>
    </xf>
    <xf numFmtId="0" fontId="4" fillId="0" borderId="10" xfId="19" applyBorder="1" applyAlignment="1">
      <alignment horizontal="center" wrapText="1"/>
    </xf>
    <xf numFmtId="0" fontId="4" fillId="0" borderId="3" xfId="19" applyBorder="1" applyAlignment="1">
      <alignment horizontal="center" vertical="center" wrapText="1"/>
    </xf>
    <xf numFmtId="0" fontId="4" fillId="0" borderId="4" xfId="19" applyBorder="1" applyAlignment="1">
      <alignment horizontal="center" vertical="center" wrapText="1"/>
    </xf>
    <xf numFmtId="0" fontId="4" fillId="0" borderId="10" xfId="19" applyBorder="1" applyAlignment="1">
      <alignment horizontal="center"/>
    </xf>
    <xf numFmtId="0" fontId="4" fillId="0" borderId="11" xfId="19" applyBorder="1" applyAlignment="1">
      <alignment horizontal="center"/>
    </xf>
    <xf numFmtId="0" fontId="4" fillId="0" borderId="12" xfId="19" applyBorder="1" applyAlignment="1">
      <alignment horizontal="center"/>
    </xf>
    <xf numFmtId="0" fontId="46" fillId="0" borderId="15" xfId="26" applyFont="1" applyFill="1" applyBorder="1" applyAlignment="1">
      <alignment horizontal="center" vertical="center" wrapText="1"/>
    </xf>
    <xf numFmtId="0" fontId="46" fillId="0" borderId="16" xfId="26" applyFont="1" applyFill="1" applyBorder="1" applyAlignment="1">
      <alignment horizontal="center" vertical="center" wrapText="1"/>
    </xf>
    <xf numFmtId="0" fontId="46" fillId="0" borderId="17" xfId="26" applyFont="1" applyFill="1" applyBorder="1" applyAlignment="1">
      <alignment horizontal="center" vertical="center" wrapText="1"/>
    </xf>
    <xf numFmtId="0" fontId="4" fillId="0" borderId="36" xfId="19" applyBorder="1" applyAlignment="1">
      <alignment horizontal="center" vertical="center" wrapText="1"/>
    </xf>
    <xf numFmtId="0" fontId="4" fillId="0" borderId="36" xfId="19" applyBorder="1" applyAlignment="1">
      <alignment horizontal="center" vertical="center"/>
    </xf>
    <xf numFmtId="0" fontId="4" fillId="0" borderId="21" xfId="19" applyBorder="1" applyAlignment="1">
      <alignment horizontal="center" vertical="center"/>
    </xf>
    <xf numFmtId="0" fontId="4" fillId="0" borderId="5" xfId="19" applyBorder="1" applyAlignment="1">
      <alignment horizontal="center" vertical="center"/>
    </xf>
    <xf numFmtId="0" fontId="4" fillId="0" borderId="37" xfId="19" applyBorder="1" applyAlignment="1">
      <alignment horizontal="center" vertical="center" wrapText="1"/>
    </xf>
    <xf numFmtId="0" fontId="23" fillId="9" borderId="1" xfId="0" applyFont="1" applyFill="1" applyBorder="1" applyAlignment="1">
      <alignment horizontal="center" vertical="center" wrapText="1"/>
    </xf>
    <xf numFmtId="0" fontId="19" fillId="0" borderId="5" xfId="19" applyFont="1" applyFill="1" applyBorder="1" applyAlignment="1">
      <alignment horizontal="center" vertical="center" wrapText="1"/>
    </xf>
    <xf numFmtId="0" fontId="19" fillId="0" borderId="5" xfId="26" applyFont="1" applyFill="1" applyBorder="1" applyAlignment="1">
      <alignment horizontal="center" vertical="center" wrapText="1"/>
    </xf>
    <xf numFmtId="0" fontId="19" fillId="0" borderId="2" xfId="26"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36" xfId="0" applyFont="1" applyFill="1" applyBorder="1" applyAlignment="1">
      <alignment horizontal="center" vertical="center" wrapText="1"/>
    </xf>
    <xf numFmtId="0" fontId="23" fillId="3" borderId="21" xfId="0" applyFont="1" applyFill="1" applyBorder="1" applyAlignment="1">
      <alignment horizontal="center" vertical="center" wrapText="1"/>
    </xf>
    <xf numFmtId="3" fontId="4" fillId="0" borderId="5" xfId="26" applyNumberFormat="1" applyFont="1" applyFill="1" applyBorder="1" applyAlignment="1">
      <alignment horizontal="center" vertical="center" wrapText="1"/>
    </xf>
    <xf numFmtId="3" fontId="4" fillId="0" borderId="1" xfId="26" applyNumberFormat="1" applyFont="1" applyFill="1" applyBorder="1" applyAlignment="1">
      <alignment horizontal="center" vertical="center" wrapText="1"/>
    </xf>
    <xf numFmtId="3" fontId="4" fillId="0" borderId="2" xfId="26" applyNumberFormat="1" applyFont="1" applyFill="1" applyBorder="1" applyAlignment="1">
      <alignment horizontal="center" vertical="center" wrapText="1"/>
    </xf>
    <xf numFmtId="0" fontId="12" fillId="0" borderId="3" xfId="26" applyFont="1" applyFill="1" applyBorder="1" applyAlignment="1">
      <alignment horizontal="center" vertical="center" wrapText="1"/>
    </xf>
    <xf numFmtId="3" fontId="4" fillId="0" borderId="21" xfId="26" applyNumberFormat="1" applyFont="1" applyFill="1" applyBorder="1" applyAlignment="1">
      <alignment horizontal="center" vertical="center" wrapText="1"/>
    </xf>
    <xf numFmtId="3" fontId="4" fillId="0" borderId="37" xfId="26" applyNumberFormat="1" applyFont="1" applyFill="1" applyBorder="1" applyAlignment="1">
      <alignment horizontal="center" vertical="center" wrapText="1"/>
    </xf>
    <xf numFmtId="1" fontId="23" fillId="9" borderId="0" xfId="0" applyNumberFormat="1" applyFont="1" applyFill="1" applyBorder="1" applyAlignment="1">
      <alignment horizontal="center" vertical="center" wrapText="1"/>
    </xf>
    <xf numFmtId="0" fontId="4" fillId="0" borderId="1" xfId="19" applyFont="1" applyFill="1" applyBorder="1" applyAlignment="1">
      <alignment horizontal="center" vertical="center" wrapText="1"/>
    </xf>
    <xf numFmtId="1" fontId="23" fillId="3" borderId="1" xfId="0" applyNumberFormat="1" applyFont="1" applyFill="1" applyBorder="1" applyAlignment="1">
      <alignment horizontal="center" vertical="center" wrapText="1"/>
    </xf>
    <xf numFmtId="1" fontId="23" fillId="3" borderId="2" xfId="0" applyNumberFormat="1" applyFont="1" applyFill="1" applyBorder="1" applyAlignment="1">
      <alignment horizontal="center" vertical="center" wrapText="1"/>
    </xf>
    <xf numFmtId="0" fontId="23" fillId="9" borderId="0"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1" xfId="0" applyFont="1" applyFill="1" applyBorder="1" applyAlignment="1">
      <alignment horizontal="center" vertical="center" wrapText="1"/>
    </xf>
    <xf numFmtId="3" fontId="29" fillId="0" borderId="2" xfId="26" applyNumberFormat="1" applyFont="1" applyFill="1" applyBorder="1" applyAlignment="1">
      <alignment horizontal="center" vertical="center" wrapText="1"/>
    </xf>
    <xf numFmtId="3" fontId="29" fillId="0" borderId="21" xfId="26" applyNumberFormat="1" applyFont="1" applyFill="1" applyBorder="1" applyAlignment="1">
      <alignment horizontal="center" vertical="center" wrapText="1"/>
    </xf>
    <xf numFmtId="3" fontId="29" fillId="0" borderId="5" xfId="26"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180" fontId="23" fillId="0" borderId="2" xfId="0" applyNumberFormat="1" applyFont="1" applyFill="1" applyBorder="1" applyAlignment="1">
      <alignment horizontal="center" vertical="center" wrapText="1"/>
    </xf>
    <xf numFmtId="180" fontId="23" fillId="0" borderId="21" xfId="0" applyNumberFormat="1" applyFont="1" applyFill="1" applyBorder="1" applyAlignment="1">
      <alignment horizontal="center" vertical="center" wrapText="1"/>
    </xf>
    <xf numFmtId="180" fontId="23" fillId="0" borderId="5" xfId="0" applyNumberFormat="1" applyFont="1" applyFill="1" applyBorder="1" applyAlignment="1">
      <alignment horizontal="center" vertical="center" wrapText="1"/>
    </xf>
    <xf numFmtId="0" fontId="23" fillId="3" borderId="5" xfId="0" applyFont="1" applyFill="1" applyBorder="1" applyAlignment="1">
      <alignment horizontal="center" vertical="center" wrapText="1"/>
    </xf>
    <xf numFmtId="1" fontId="23" fillId="3" borderId="36" xfId="0" applyNumberFormat="1" applyFont="1" applyFill="1" applyBorder="1" applyAlignment="1">
      <alignment horizontal="center" vertical="center" wrapText="1"/>
    </xf>
    <xf numFmtId="1" fontId="23" fillId="3" borderId="21" xfId="0" applyNumberFormat="1" applyFont="1" applyFill="1" applyBorder="1" applyAlignment="1">
      <alignment horizontal="center" vertical="center" wrapText="1"/>
    </xf>
    <xf numFmtId="1" fontId="23" fillId="3" borderId="5" xfId="0" applyNumberFormat="1" applyFont="1" applyFill="1" applyBorder="1" applyAlignment="1">
      <alignment horizontal="center" vertical="center" wrapText="1"/>
    </xf>
    <xf numFmtId="0" fontId="16" fillId="5" borderId="63" xfId="19" applyFont="1" applyFill="1" applyBorder="1" applyAlignment="1">
      <alignment horizontal="center" vertical="center" wrapText="1"/>
    </xf>
    <xf numFmtId="0" fontId="16" fillId="5" borderId="64" xfId="19" applyFont="1" applyFill="1" applyBorder="1" applyAlignment="1">
      <alignment horizontal="center" vertical="center" wrapText="1"/>
    </xf>
    <xf numFmtId="0" fontId="16" fillId="5" borderId="65" xfId="19" applyFont="1" applyFill="1" applyBorder="1" applyAlignment="1">
      <alignment horizontal="center" vertical="center" wrapText="1"/>
    </xf>
    <xf numFmtId="0" fontId="16" fillId="5" borderId="66" xfId="19" applyFont="1" applyFill="1" applyBorder="1" applyAlignment="1">
      <alignment horizontal="center" vertical="center" wrapText="1"/>
    </xf>
    <xf numFmtId="0" fontId="16" fillId="5" borderId="35" xfId="19" applyFont="1" applyFill="1" applyBorder="1" applyAlignment="1">
      <alignment horizontal="center" vertical="center" wrapText="1"/>
    </xf>
    <xf numFmtId="0" fontId="19" fillId="0" borderId="44" xfId="19" applyFont="1" applyFill="1" applyBorder="1" applyAlignment="1">
      <alignment horizontal="center" vertical="center" wrapText="1"/>
    </xf>
    <xf numFmtId="0" fontId="19" fillId="0" borderId="8" xfId="19" applyFont="1" applyFill="1" applyBorder="1" applyAlignment="1">
      <alignment horizontal="center" vertical="center" wrapText="1"/>
    </xf>
    <xf numFmtId="0" fontId="19" fillId="0" borderId="34" xfId="19" applyFont="1" applyFill="1" applyBorder="1" applyAlignment="1">
      <alignment horizontal="center" vertical="center" wrapText="1"/>
    </xf>
    <xf numFmtId="0" fontId="16" fillId="5" borderId="18" xfId="19" applyFont="1" applyFill="1" applyBorder="1" applyAlignment="1">
      <alignment horizontal="center" vertical="center" wrapText="1"/>
    </xf>
    <xf numFmtId="0" fontId="16" fillId="5" borderId="52" xfId="19" applyFont="1" applyFill="1" applyBorder="1" applyAlignment="1">
      <alignment horizontal="center" vertical="center" wrapText="1"/>
    </xf>
    <xf numFmtId="0" fontId="16" fillId="5" borderId="19" xfId="19" applyFont="1" applyFill="1" applyBorder="1" applyAlignment="1">
      <alignment horizontal="center" vertical="center" wrapText="1"/>
    </xf>
    <xf numFmtId="0" fontId="16" fillId="5" borderId="41" xfId="19" applyFont="1" applyFill="1" applyBorder="1" applyAlignment="1">
      <alignment horizontal="center" vertical="center" wrapText="1"/>
    </xf>
    <xf numFmtId="0" fontId="16" fillId="5" borderId="58" xfId="19" applyFont="1" applyFill="1" applyBorder="1" applyAlignment="1">
      <alignment horizontal="center" vertical="center" wrapText="1"/>
    </xf>
    <xf numFmtId="0" fontId="16" fillId="5" borderId="67" xfId="19" applyFont="1" applyFill="1" applyBorder="1" applyAlignment="1">
      <alignment horizontal="center" vertical="center" wrapText="1"/>
    </xf>
    <xf numFmtId="0" fontId="16" fillId="5" borderId="47" xfId="19" applyFont="1" applyFill="1" applyBorder="1" applyAlignment="1">
      <alignment horizontal="center" vertical="center" wrapText="1"/>
    </xf>
    <xf numFmtId="0" fontId="16" fillId="5" borderId="48" xfId="19" applyFont="1" applyFill="1" applyBorder="1" applyAlignment="1">
      <alignment horizontal="center" vertical="center" wrapText="1"/>
    </xf>
    <xf numFmtId="0" fontId="16" fillId="5" borderId="1" xfId="19" applyFont="1" applyFill="1" applyBorder="1" applyAlignment="1">
      <alignment horizontal="center" vertical="center" wrapText="1"/>
    </xf>
    <xf numFmtId="0" fontId="16" fillId="5" borderId="8" xfId="19" applyFont="1" applyFill="1" applyBorder="1" applyAlignment="1">
      <alignment horizontal="center" vertical="center" wrapText="1"/>
    </xf>
    <xf numFmtId="0" fontId="16" fillId="5" borderId="6" xfId="19" applyFont="1" applyFill="1" applyBorder="1" applyAlignment="1">
      <alignment horizontal="center" vertical="center" wrapText="1"/>
    </xf>
    <xf numFmtId="0" fontId="16" fillId="5" borderId="7" xfId="19" applyFont="1" applyFill="1" applyBorder="1" applyAlignment="1">
      <alignment horizontal="center" vertical="center" wrapText="1"/>
    </xf>
    <xf numFmtId="0" fontId="4" fillId="0" borderId="22" xfId="19" applyBorder="1" applyAlignment="1">
      <alignment horizontal="center"/>
    </xf>
    <xf numFmtId="0" fontId="4" fillId="0" borderId="23" xfId="19" applyBorder="1" applyAlignment="1">
      <alignment horizontal="center"/>
    </xf>
    <xf numFmtId="0" fontId="4" fillId="0" borderId="24" xfId="19" applyBorder="1" applyAlignment="1">
      <alignment horizontal="center"/>
    </xf>
    <xf numFmtId="0" fontId="4" fillId="0" borderId="25" xfId="19" applyBorder="1" applyAlignment="1">
      <alignment horizontal="center"/>
    </xf>
    <xf numFmtId="0" fontId="4" fillId="0" borderId="0" xfId="19" applyBorder="1" applyAlignment="1">
      <alignment horizontal="center"/>
    </xf>
    <xf numFmtId="0" fontId="4" fillId="0" borderId="9" xfId="19" applyBorder="1" applyAlignment="1">
      <alignment horizontal="center"/>
    </xf>
    <xf numFmtId="0" fontId="42" fillId="5" borderId="14" xfId="19" applyFont="1" applyFill="1" applyBorder="1" applyAlignment="1">
      <alignment horizontal="center" vertical="center" wrapText="1"/>
    </xf>
    <xf numFmtId="0" fontId="42" fillId="5" borderId="31" xfId="19" applyFont="1" applyFill="1" applyBorder="1" applyAlignment="1">
      <alignment horizontal="center" vertical="center" wrapText="1"/>
    </xf>
    <xf numFmtId="0" fontId="42" fillId="5" borderId="32" xfId="19" applyFont="1" applyFill="1" applyBorder="1" applyAlignment="1">
      <alignment horizontal="center" vertical="center" wrapText="1"/>
    </xf>
    <xf numFmtId="0" fontId="42" fillId="5" borderId="8" xfId="19" applyFont="1" applyFill="1" applyBorder="1" applyAlignment="1">
      <alignment horizontal="center" vertical="center" wrapText="1"/>
    </xf>
    <xf numFmtId="0" fontId="42" fillId="5" borderId="6" xfId="19" applyFont="1" applyFill="1" applyBorder="1" applyAlignment="1">
      <alignment horizontal="center" vertical="center" wrapText="1"/>
    </xf>
    <xf numFmtId="0" fontId="42" fillId="5" borderId="33" xfId="19" applyFont="1" applyFill="1" applyBorder="1" applyAlignment="1">
      <alignment horizontal="center" vertical="center" wrapText="1"/>
    </xf>
    <xf numFmtId="0" fontId="43" fillId="5" borderId="8" xfId="19" applyFont="1" applyFill="1" applyBorder="1" applyAlignment="1">
      <alignment horizontal="center" vertical="center" wrapText="1"/>
    </xf>
    <xf numFmtId="0" fontId="43" fillId="5" borderId="7" xfId="19" applyFont="1" applyFill="1" applyBorder="1" applyAlignment="1">
      <alignment horizontal="center" vertical="center" wrapText="1"/>
    </xf>
    <xf numFmtId="0" fontId="43" fillId="5" borderId="34" xfId="19" applyFont="1" applyFill="1" applyBorder="1" applyAlignment="1">
      <alignment horizontal="center" vertical="center" wrapText="1"/>
    </xf>
    <xf numFmtId="0" fontId="43" fillId="5" borderId="39" xfId="19" applyFont="1" applyFill="1" applyBorder="1" applyAlignment="1">
      <alignment horizontal="center" vertical="center" wrapText="1"/>
    </xf>
    <xf numFmtId="0" fontId="43" fillId="5" borderId="57" xfId="19" applyFont="1" applyFill="1" applyBorder="1" applyAlignment="1">
      <alignment horizontal="center" vertical="center" wrapText="1"/>
    </xf>
    <xf numFmtId="0" fontId="43" fillId="5" borderId="29" xfId="19" applyFont="1" applyFill="1" applyBorder="1" applyAlignment="1">
      <alignment horizontal="center" vertical="center" wrapText="1"/>
    </xf>
    <xf numFmtId="0" fontId="43" fillId="5" borderId="54" xfId="19" applyFont="1" applyFill="1" applyBorder="1" applyAlignment="1">
      <alignment horizontal="center" vertical="center" wrapText="1"/>
    </xf>
  </cellXfs>
  <cellStyles count="32">
    <cellStyle name="Coma 2" xfId="1" xr:uid="{00000000-0005-0000-0000-000000000000}"/>
    <cellStyle name="Coma 2 2" xfId="2" xr:uid="{00000000-0005-0000-0000-000001000000}"/>
    <cellStyle name="Millares" xfId="3" builtinId="3"/>
    <cellStyle name="Millares 10" xfId="28" xr:uid="{00000000-0005-0000-0000-000003000000}"/>
    <cellStyle name="Millares 2" xfId="4" xr:uid="{00000000-0005-0000-0000-000004000000}"/>
    <cellStyle name="Millares 2 2" xfId="5" xr:uid="{00000000-0005-0000-0000-000005000000}"/>
    <cellStyle name="Millares 2 3" xfId="27" xr:uid="{00000000-0005-0000-0000-000006000000}"/>
    <cellStyle name="Millares 3" xfId="6" xr:uid="{00000000-0005-0000-0000-000007000000}"/>
    <cellStyle name="Millares 3 2" xfId="7" xr:uid="{00000000-0005-0000-0000-000008000000}"/>
    <cellStyle name="Millares 4" xfId="8" xr:uid="{00000000-0005-0000-0000-000009000000}"/>
    <cellStyle name="Moneda" xfId="9" builtinId="4"/>
    <cellStyle name="Moneda 2" xfId="10" xr:uid="{00000000-0005-0000-0000-00000B000000}"/>
    <cellStyle name="Moneda 2 2" xfId="11" xr:uid="{00000000-0005-0000-0000-00000C000000}"/>
    <cellStyle name="Moneda 2 2 2" xfId="12" xr:uid="{00000000-0005-0000-0000-00000D000000}"/>
    <cellStyle name="Moneda 2 3" xfId="13" xr:uid="{00000000-0005-0000-0000-00000E000000}"/>
    <cellStyle name="Moneda 2 4 3" xfId="24" xr:uid="{00000000-0005-0000-0000-00000F000000}"/>
    <cellStyle name="Moneda 3" xfId="14" xr:uid="{00000000-0005-0000-0000-000010000000}"/>
    <cellStyle name="Moneda 4" xfId="15" xr:uid="{00000000-0005-0000-0000-000011000000}"/>
    <cellStyle name="Normal" xfId="0" builtinId="0"/>
    <cellStyle name="Normal 2" xfId="16" xr:uid="{00000000-0005-0000-0000-000013000000}"/>
    <cellStyle name="Normal 2 10" xfId="17" xr:uid="{00000000-0005-0000-0000-000014000000}"/>
    <cellStyle name="Normal 3" xfId="18" xr:uid="{00000000-0005-0000-0000-000015000000}"/>
    <cellStyle name="Normal 3 2" xfId="19" xr:uid="{00000000-0005-0000-0000-000016000000}"/>
    <cellStyle name="Normal 4 2" xfId="20" xr:uid="{00000000-0005-0000-0000-000017000000}"/>
    <cellStyle name="Normal 4 4 2" xfId="26" xr:uid="{00000000-0005-0000-0000-000018000000}"/>
    <cellStyle name="Normal_573_2009_ Actualizado 22_12_2009" xfId="31" xr:uid="{00000000-0005-0000-0000-000019000000}"/>
    <cellStyle name="Porcentaje" xfId="21" builtinId="5"/>
    <cellStyle name="Porcentaje 2" xfId="29" xr:uid="{00000000-0005-0000-0000-00001B000000}"/>
    <cellStyle name="Porcentaje 3" xfId="30" xr:uid="{00000000-0005-0000-0000-00001C000000}"/>
    <cellStyle name="Porcentual 2" xfId="22" xr:uid="{00000000-0005-0000-0000-00001D000000}"/>
    <cellStyle name="Porcentual 2 2" xfId="23" xr:uid="{00000000-0005-0000-0000-00001E000000}"/>
    <cellStyle name="Porcentual 2 2 2" xfId="25" xr:uid="{00000000-0005-0000-0000-00001F000000}"/>
  </cellStyles>
  <dxfs count="0"/>
  <tableStyles count="0" defaultTableStyle="TableStyleMedium9" defaultPivotStyle="PivotStyleLight16"/>
  <colors>
    <mruColors>
      <color rgb="FF66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923925</xdr:colOff>
      <xdr:row>1</xdr:row>
      <xdr:rowOff>285750</xdr:rowOff>
    </xdr:from>
    <xdr:to>
      <xdr:col>4</xdr:col>
      <xdr:colOff>47625</xdr:colOff>
      <xdr:row>4</xdr:row>
      <xdr:rowOff>9525</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14475" y="552450"/>
          <a:ext cx="2914650" cy="92392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825500</xdr:colOff>
      <xdr:row>0</xdr:row>
      <xdr:rowOff>266700</xdr:rowOff>
    </xdr:from>
    <xdr:to>
      <xdr:col>2</xdr:col>
      <xdr:colOff>1571625</xdr:colOff>
      <xdr:row>3</xdr:row>
      <xdr:rowOff>19050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39850" y="266700"/>
          <a:ext cx="15748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390525</xdr:rowOff>
    </xdr:from>
    <xdr:to>
      <xdr:col>1</xdr:col>
      <xdr:colOff>990600</xdr:colOff>
      <xdr:row>3</xdr:row>
      <xdr:rowOff>12337</xdr:rowOff>
    </xdr:to>
    <xdr:pic>
      <xdr:nvPicPr>
        <xdr:cNvPr id="2" name="2 Imagen" descr="http://190.27.245.106/IsolucionSDA/GrafVinetas/logo%202016-20.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90525"/>
          <a:ext cx="1781175" cy="774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195943</xdr:colOff>
      <xdr:row>0</xdr:row>
      <xdr:rowOff>266700</xdr:rowOff>
    </xdr:from>
    <xdr:to>
      <xdr:col>2</xdr:col>
      <xdr:colOff>523874</xdr:colOff>
      <xdr:row>2</xdr:row>
      <xdr:rowOff>104775</xdr:rowOff>
    </xdr:to>
    <xdr:pic>
      <xdr:nvPicPr>
        <xdr:cNvPr id="2" name="2 Imagen" descr="http://190.27.245.106/IsolucionSDA/GrafVinetas/logo%202016-20.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968" y="266700"/>
          <a:ext cx="1547131"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29"/>
  <sheetViews>
    <sheetView tabSelected="1" view="pageBreakPreview" topLeftCell="H13" zoomScale="60" zoomScaleNormal="60" workbookViewId="0">
      <selection activeCell="AA14" sqref="AA14"/>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7.42578125" style="1" customWidth="1"/>
    <col min="7" max="7" width="19.5703125" style="1" customWidth="1"/>
    <col min="8" max="8" width="12.85546875" style="1" customWidth="1"/>
    <col min="9" max="9" width="13.5703125" style="18" customWidth="1"/>
    <col min="10" max="10" width="12.7109375" style="21" hidden="1" customWidth="1"/>
    <col min="11" max="11" width="12.7109375" style="18" customWidth="1"/>
    <col min="12" max="12" width="19" style="22" customWidth="1"/>
    <col min="13" max="13" width="12.7109375" style="21" hidden="1" customWidth="1"/>
    <col min="14" max="14" width="14.28515625" style="21" hidden="1" customWidth="1"/>
    <col min="15" max="15" width="17" style="21" hidden="1" customWidth="1"/>
    <col min="16" max="16" width="12.140625" style="21" customWidth="1"/>
    <col min="17" max="17" width="12.7109375" style="22" customWidth="1"/>
    <col min="18" max="18" width="9.28515625" style="21" hidden="1" customWidth="1"/>
    <col min="19" max="20" width="12.7109375" style="21" hidden="1" customWidth="1"/>
    <col min="21" max="21" width="12.7109375" style="21" customWidth="1"/>
    <col min="22" max="22" width="12.7109375" style="22" customWidth="1"/>
    <col min="23" max="25" width="12.7109375" style="21" hidden="1" customWidth="1"/>
    <col min="26" max="26" width="12.7109375" style="21" customWidth="1"/>
    <col min="27" max="27" width="12.7109375" style="22" customWidth="1"/>
    <col min="28" max="28" width="12.7109375" style="22" hidden="1" customWidth="1"/>
    <col min="29" max="29" width="12.7109375" style="22" customWidth="1"/>
    <col min="30" max="32" width="12.7109375" style="22" hidden="1" customWidth="1"/>
    <col min="33" max="33" width="12.85546875" style="1" hidden="1" customWidth="1"/>
    <col min="34" max="34" width="16.5703125" style="1" customWidth="1"/>
    <col min="35" max="35" width="12.85546875" style="1" hidden="1" customWidth="1"/>
    <col min="36" max="36" width="18.85546875" style="1" hidden="1" customWidth="1"/>
    <col min="37" max="37" width="13.140625" style="1" customWidth="1"/>
    <col min="38" max="38" width="14.5703125" style="1" customWidth="1"/>
    <col min="39" max="39" width="60" style="1" customWidth="1"/>
    <col min="40" max="40" width="18.5703125" style="1" customWidth="1"/>
    <col min="41" max="41" width="21.42578125" style="1" customWidth="1"/>
    <col min="42" max="42" width="19.140625" style="1" customWidth="1"/>
    <col min="43" max="43" width="16.7109375" style="1" customWidth="1"/>
    <col min="44" max="44" width="11.42578125" style="1"/>
    <col min="45" max="45" width="56.5703125" style="1" customWidth="1"/>
    <col min="46" max="16384" width="11.42578125" style="1"/>
  </cols>
  <sheetData>
    <row r="1" spans="1:43" ht="21" customHeight="1" thickBot="1" x14ac:dyDescent="0.3">
      <c r="A1" s="4"/>
      <c r="B1" s="4"/>
      <c r="C1" s="4"/>
      <c r="D1" s="4"/>
      <c r="E1" s="4"/>
      <c r="F1" s="4"/>
      <c r="G1" s="4"/>
      <c r="H1" s="4"/>
      <c r="I1" s="16"/>
      <c r="J1" s="16"/>
      <c r="K1" s="16"/>
      <c r="L1" s="16"/>
      <c r="M1" s="16"/>
      <c r="N1" s="16"/>
      <c r="O1" s="16"/>
      <c r="P1" s="16"/>
      <c r="Q1" s="16"/>
      <c r="R1" s="16"/>
      <c r="S1" s="16"/>
      <c r="T1" s="16"/>
      <c r="U1" s="16"/>
      <c r="V1" s="16"/>
      <c r="W1" s="16"/>
      <c r="X1" s="16"/>
      <c r="Y1" s="16"/>
      <c r="Z1" s="16"/>
      <c r="AA1" s="16"/>
      <c r="AB1" s="16"/>
      <c r="AC1" s="16"/>
      <c r="AD1" s="16"/>
      <c r="AE1" s="16"/>
      <c r="AF1" s="16"/>
      <c r="AG1" s="4"/>
      <c r="AH1" s="4"/>
      <c r="AI1" s="4"/>
      <c r="AJ1" s="4"/>
      <c r="AK1" s="4"/>
      <c r="AL1" s="4"/>
      <c r="AM1" s="4"/>
      <c r="AN1" s="4"/>
      <c r="AO1" s="4"/>
      <c r="AP1" s="4"/>
      <c r="AQ1" s="4"/>
    </row>
    <row r="2" spans="1:43" ht="38.25" customHeight="1" x14ac:dyDescent="0.25">
      <c r="A2" s="504"/>
      <c r="B2" s="505"/>
      <c r="C2" s="505"/>
      <c r="D2" s="505"/>
      <c r="E2" s="505"/>
      <c r="F2" s="506"/>
      <c r="G2" s="512" t="s">
        <v>0</v>
      </c>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3"/>
    </row>
    <row r="3" spans="1:43" ht="28.5" customHeight="1" x14ac:dyDescent="0.25">
      <c r="A3" s="507"/>
      <c r="B3" s="508"/>
      <c r="C3" s="508"/>
      <c r="D3" s="508"/>
      <c r="E3" s="508"/>
      <c r="F3" s="509"/>
      <c r="G3" s="514" t="s">
        <v>105</v>
      </c>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c r="AP3" s="514"/>
      <c r="AQ3" s="515"/>
    </row>
    <row r="4" spans="1:43" ht="27.75" customHeight="1" x14ac:dyDescent="0.25">
      <c r="A4" s="507"/>
      <c r="B4" s="508"/>
      <c r="C4" s="508"/>
      <c r="D4" s="508"/>
      <c r="E4" s="508"/>
      <c r="F4" s="509"/>
      <c r="G4" s="514" t="s">
        <v>1</v>
      </c>
      <c r="H4" s="514"/>
      <c r="I4" s="514"/>
      <c r="J4" s="514"/>
      <c r="K4" s="514"/>
      <c r="L4" s="514"/>
      <c r="M4" s="514"/>
      <c r="N4" s="514"/>
      <c r="O4" s="514"/>
      <c r="P4" s="514" t="s">
        <v>107</v>
      </c>
      <c r="Q4" s="514"/>
      <c r="R4" s="514"/>
      <c r="S4" s="514"/>
      <c r="T4" s="514"/>
      <c r="U4" s="514"/>
      <c r="V4" s="514"/>
      <c r="W4" s="514"/>
      <c r="X4" s="514"/>
      <c r="Y4" s="514"/>
      <c r="Z4" s="514"/>
      <c r="AA4" s="514"/>
      <c r="AB4" s="514"/>
      <c r="AC4" s="514"/>
      <c r="AD4" s="514"/>
      <c r="AE4" s="514"/>
      <c r="AF4" s="514"/>
      <c r="AG4" s="514"/>
      <c r="AH4" s="514"/>
      <c r="AI4" s="514"/>
      <c r="AJ4" s="514"/>
      <c r="AK4" s="514"/>
      <c r="AL4" s="514"/>
      <c r="AM4" s="514"/>
      <c r="AN4" s="514"/>
      <c r="AO4" s="514"/>
      <c r="AP4" s="514"/>
      <c r="AQ4" s="515"/>
    </row>
    <row r="5" spans="1:43" ht="26.25" customHeight="1" x14ac:dyDescent="0.25">
      <c r="A5" s="507"/>
      <c r="B5" s="508"/>
      <c r="C5" s="508"/>
      <c r="D5" s="508"/>
      <c r="E5" s="508"/>
      <c r="F5" s="509"/>
      <c r="G5" s="514" t="s">
        <v>3</v>
      </c>
      <c r="H5" s="514"/>
      <c r="I5" s="514"/>
      <c r="J5" s="514"/>
      <c r="K5" s="514"/>
      <c r="L5" s="514"/>
      <c r="M5" s="514"/>
      <c r="N5" s="514"/>
      <c r="O5" s="514"/>
      <c r="P5" s="514" t="s">
        <v>108</v>
      </c>
      <c r="Q5" s="514"/>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515"/>
    </row>
    <row r="6" spans="1:43" ht="15.75" x14ac:dyDescent="0.25">
      <c r="A6" s="28"/>
      <c r="B6" s="29"/>
      <c r="C6" s="29"/>
      <c r="D6" s="29"/>
      <c r="E6" s="29"/>
      <c r="F6" s="29"/>
      <c r="G6" s="29"/>
      <c r="H6" s="29"/>
      <c r="I6" s="30"/>
      <c r="J6" s="30"/>
      <c r="K6" s="30"/>
      <c r="L6" s="30"/>
      <c r="M6" s="30"/>
      <c r="N6" s="30"/>
      <c r="O6" s="30"/>
      <c r="P6" s="30"/>
      <c r="Q6" s="30"/>
      <c r="R6" s="30"/>
      <c r="S6" s="30"/>
      <c r="T6" s="30"/>
      <c r="U6" s="30"/>
      <c r="V6" s="30"/>
      <c r="W6" s="30"/>
      <c r="X6" s="30"/>
      <c r="Y6" s="30"/>
      <c r="Z6" s="30"/>
      <c r="AA6" s="30"/>
      <c r="AB6" s="30"/>
      <c r="AC6" s="30"/>
      <c r="AD6" s="30"/>
      <c r="AE6" s="30"/>
      <c r="AF6" s="30"/>
      <c r="AG6" s="29"/>
      <c r="AH6" s="29"/>
      <c r="AI6" s="29"/>
      <c r="AJ6" s="29"/>
      <c r="AK6" s="29"/>
      <c r="AL6" s="29"/>
      <c r="AM6" s="29"/>
      <c r="AN6" s="29"/>
      <c r="AO6" s="29"/>
      <c r="AP6" s="29"/>
      <c r="AQ6" s="31"/>
    </row>
    <row r="7" spans="1:43" ht="30" customHeight="1" x14ac:dyDescent="0.25">
      <c r="A7" s="518" t="s">
        <v>4</v>
      </c>
      <c r="B7" s="514"/>
      <c r="C7" s="514"/>
      <c r="D7" s="514"/>
      <c r="E7" s="514"/>
      <c r="F7" s="514"/>
      <c r="G7" s="514"/>
      <c r="H7" s="514"/>
      <c r="I7" s="514"/>
      <c r="J7" s="514"/>
      <c r="K7" s="514"/>
      <c r="L7" s="514"/>
      <c r="M7" s="514"/>
      <c r="N7" s="514"/>
      <c r="O7" s="514"/>
      <c r="P7" s="521" t="s">
        <v>106</v>
      </c>
      <c r="Q7" s="521"/>
      <c r="R7" s="521"/>
      <c r="S7" s="521"/>
      <c r="T7" s="521"/>
      <c r="U7" s="521"/>
      <c r="V7" s="521"/>
      <c r="W7" s="521"/>
      <c r="X7" s="521"/>
      <c r="Y7" s="521"/>
      <c r="Z7" s="521"/>
      <c r="AA7" s="521"/>
      <c r="AB7" s="521"/>
      <c r="AC7" s="521"/>
      <c r="AD7" s="521"/>
      <c r="AE7" s="521"/>
      <c r="AF7" s="521"/>
      <c r="AG7" s="521"/>
      <c r="AH7" s="521"/>
      <c r="AI7" s="521"/>
      <c r="AJ7" s="521"/>
      <c r="AK7" s="521"/>
      <c r="AL7" s="521"/>
      <c r="AM7" s="521"/>
      <c r="AN7" s="521"/>
      <c r="AO7" s="521"/>
      <c r="AP7" s="521"/>
      <c r="AQ7" s="522"/>
    </row>
    <row r="8" spans="1:43" ht="57.75" customHeight="1" thickBot="1" x14ac:dyDescent="0.3">
      <c r="A8" s="519" t="s">
        <v>2</v>
      </c>
      <c r="B8" s="520"/>
      <c r="C8" s="520" t="s">
        <v>2</v>
      </c>
      <c r="D8" s="520"/>
      <c r="E8" s="520"/>
      <c r="F8" s="520"/>
      <c r="G8" s="520"/>
      <c r="H8" s="520"/>
      <c r="I8" s="520"/>
      <c r="J8" s="520"/>
      <c r="K8" s="520"/>
      <c r="L8" s="520"/>
      <c r="M8" s="520"/>
      <c r="N8" s="520"/>
      <c r="O8" s="520"/>
      <c r="P8" s="516" t="s">
        <v>378</v>
      </c>
      <c r="Q8" s="516"/>
      <c r="R8" s="516"/>
      <c r="S8" s="516"/>
      <c r="T8" s="516"/>
      <c r="U8" s="516"/>
      <c r="V8" s="516"/>
      <c r="W8" s="516"/>
      <c r="X8" s="516"/>
      <c r="Y8" s="516"/>
      <c r="Z8" s="516"/>
      <c r="AA8" s="516"/>
      <c r="AB8" s="516"/>
      <c r="AC8" s="516"/>
      <c r="AD8" s="516"/>
      <c r="AE8" s="516"/>
      <c r="AF8" s="516"/>
      <c r="AG8" s="516"/>
      <c r="AH8" s="516"/>
      <c r="AI8" s="516"/>
      <c r="AJ8" s="516"/>
      <c r="AK8" s="516"/>
      <c r="AL8" s="516"/>
      <c r="AM8" s="516"/>
      <c r="AN8" s="516"/>
      <c r="AO8" s="516"/>
      <c r="AP8" s="516"/>
      <c r="AQ8" s="517"/>
    </row>
    <row r="9" spans="1:43" ht="36" customHeight="1" thickBot="1" x14ac:dyDescent="0.3">
      <c r="A9" s="25"/>
      <c r="B9" s="26"/>
      <c r="C9" s="26"/>
      <c r="D9" s="26"/>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9"/>
      <c r="AH9" s="29"/>
      <c r="AI9" s="29"/>
      <c r="AJ9" s="29"/>
      <c r="AK9" s="29"/>
      <c r="AL9" s="29"/>
      <c r="AM9" s="29"/>
      <c r="AN9" s="29"/>
      <c r="AO9" s="29"/>
      <c r="AP9" s="29"/>
      <c r="AQ9" s="31"/>
    </row>
    <row r="10" spans="1:43" s="2" customFormat="1" ht="70.5" customHeight="1" x14ac:dyDescent="0.25">
      <c r="A10" s="510" t="s">
        <v>83</v>
      </c>
      <c r="B10" s="511"/>
      <c r="C10" s="511" t="s">
        <v>86</v>
      </c>
      <c r="D10" s="511"/>
      <c r="E10" s="511" t="s">
        <v>88</v>
      </c>
      <c r="F10" s="511"/>
      <c r="G10" s="511"/>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11" t="s">
        <v>96</v>
      </c>
      <c r="AL10" s="511" t="s">
        <v>97</v>
      </c>
      <c r="AM10" s="523" t="s">
        <v>98</v>
      </c>
      <c r="AN10" s="523" t="s">
        <v>99</v>
      </c>
      <c r="AO10" s="523" t="s">
        <v>100</v>
      </c>
      <c r="AP10" s="523" t="s">
        <v>101</v>
      </c>
      <c r="AQ10" s="530" t="s">
        <v>102</v>
      </c>
    </row>
    <row r="11" spans="1:43" s="3" customFormat="1" ht="45.75" customHeight="1" x14ac:dyDescent="0.2">
      <c r="A11" s="536" t="s">
        <v>84</v>
      </c>
      <c r="B11" s="527" t="s">
        <v>85</v>
      </c>
      <c r="C11" s="527" t="s">
        <v>66</v>
      </c>
      <c r="D11" s="527" t="s">
        <v>87</v>
      </c>
      <c r="E11" s="527" t="s">
        <v>89</v>
      </c>
      <c r="F11" s="527" t="s">
        <v>90</v>
      </c>
      <c r="G11" s="527" t="s">
        <v>91</v>
      </c>
      <c r="H11" s="527" t="s">
        <v>92</v>
      </c>
      <c r="I11" s="527" t="s">
        <v>93</v>
      </c>
      <c r="J11" s="533" t="s">
        <v>94</v>
      </c>
      <c r="K11" s="534"/>
      <c r="L11" s="534"/>
      <c r="M11" s="534"/>
      <c r="N11" s="534"/>
      <c r="O11" s="534"/>
      <c r="P11" s="534"/>
      <c r="Q11" s="534"/>
      <c r="R11" s="534"/>
      <c r="S11" s="534"/>
      <c r="T11" s="534"/>
      <c r="U11" s="534"/>
      <c r="V11" s="534"/>
      <c r="W11" s="534"/>
      <c r="X11" s="534"/>
      <c r="Y11" s="534"/>
      <c r="Z11" s="534"/>
      <c r="AA11" s="534"/>
      <c r="AB11" s="534"/>
      <c r="AC11" s="534"/>
      <c r="AD11" s="534"/>
      <c r="AE11" s="534"/>
      <c r="AF11" s="535"/>
      <c r="AG11" s="526" t="s">
        <v>95</v>
      </c>
      <c r="AH11" s="526"/>
      <c r="AI11" s="526"/>
      <c r="AJ11" s="526"/>
      <c r="AK11" s="527"/>
      <c r="AL11" s="527"/>
      <c r="AM11" s="524"/>
      <c r="AN11" s="524"/>
      <c r="AO11" s="524"/>
      <c r="AP11" s="524"/>
      <c r="AQ11" s="531"/>
    </row>
    <row r="12" spans="1:43" s="3" customFormat="1" ht="51" customHeight="1" x14ac:dyDescent="0.2">
      <c r="A12" s="536"/>
      <c r="B12" s="527"/>
      <c r="C12" s="527"/>
      <c r="D12" s="527"/>
      <c r="E12" s="527"/>
      <c r="F12" s="527"/>
      <c r="G12" s="527"/>
      <c r="H12" s="527"/>
      <c r="I12" s="527"/>
      <c r="J12" s="526">
        <v>2012</v>
      </c>
      <c r="K12" s="526"/>
      <c r="L12" s="526"/>
      <c r="M12" s="526">
        <v>2013</v>
      </c>
      <c r="N12" s="526"/>
      <c r="O12" s="526"/>
      <c r="P12" s="526"/>
      <c r="Q12" s="526"/>
      <c r="R12" s="526">
        <v>2014</v>
      </c>
      <c r="S12" s="526"/>
      <c r="T12" s="526"/>
      <c r="U12" s="526"/>
      <c r="V12" s="526"/>
      <c r="W12" s="526">
        <v>2015</v>
      </c>
      <c r="X12" s="526"/>
      <c r="Y12" s="526"/>
      <c r="Z12" s="526"/>
      <c r="AA12" s="526"/>
      <c r="AB12" s="526">
        <v>2016</v>
      </c>
      <c r="AC12" s="526"/>
      <c r="AD12" s="526"/>
      <c r="AE12" s="526"/>
      <c r="AF12" s="526"/>
      <c r="AG12" s="527" t="s">
        <v>5</v>
      </c>
      <c r="AH12" s="527" t="s">
        <v>6</v>
      </c>
      <c r="AI12" s="527" t="s">
        <v>7</v>
      </c>
      <c r="AJ12" s="527" t="s">
        <v>8</v>
      </c>
      <c r="AK12" s="527"/>
      <c r="AL12" s="527"/>
      <c r="AM12" s="524"/>
      <c r="AN12" s="524"/>
      <c r="AO12" s="524"/>
      <c r="AP12" s="524"/>
      <c r="AQ12" s="531"/>
    </row>
    <row r="13" spans="1:43" s="3" customFormat="1" ht="54" customHeight="1" thickBot="1" x14ac:dyDescent="0.25">
      <c r="A13" s="537"/>
      <c r="B13" s="529"/>
      <c r="C13" s="529"/>
      <c r="D13" s="529"/>
      <c r="E13" s="529"/>
      <c r="F13" s="529"/>
      <c r="G13" s="529"/>
      <c r="H13" s="529"/>
      <c r="I13" s="529"/>
      <c r="J13" s="34" t="s">
        <v>7</v>
      </c>
      <c r="K13" s="34" t="s">
        <v>8</v>
      </c>
      <c r="L13" s="34" t="s">
        <v>31</v>
      </c>
      <c r="M13" s="34" t="s">
        <v>5</v>
      </c>
      <c r="N13" s="34" t="s">
        <v>6</v>
      </c>
      <c r="O13" s="34" t="s">
        <v>7</v>
      </c>
      <c r="P13" s="34" t="s">
        <v>8</v>
      </c>
      <c r="Q13" s="34" t="s">
        <v>31</v>
      </c>
      <c r="R13" s="34" t="s">
        <v>5</v>
      </c>
      <c r="S13" s="34" t="s">
        <v>6</v>
      </c>
      <c r="T13" s="34" t="s">
        <v>7</v>
      </c>
      <c r="U13" s="34" t="s">
        <v>8</v>
      </c>
      <c r="V13" s="34" t="s">
        <v>31</v>
      </c>
      <c r="W13" s="34" t="s">
        <v>5</v>
      </c>
      <c r="X13" s="34" t="s">
        <v>6</v>
      </c>
      <c r="Y13" s="34" t="s">
        <v>7</v>
      </c>
      <c r="Z13" s="34" t="s">
        <v>8</v>
      </c>
      <c r="AA13" s="34" t="s">
        <v>31</v>
      </c>
      <c r="AB13" s="34" t="s">
        <v>5</v>
      </c>
      <c r="AC13" s="34" t="s">
        <v>6</v>
      </c>
      <c r="AD13" s="34" t="s">
        <v>7</v>
      </c>
      <c r="AE13" s="34" t="s">
        <v>8</v>
      </c>
      <c r="AF13" s="34" t="s">
        <v>31</v>
      </c>
      <c r="AG13" s="528"/>
      <c r="AH13" s="528"/>
      <c r="AI13" s="528"/>
      <c r="AJ13" s="528"/>
      <c r="AK13" s="528"/>
      <c r="AL13" s="529"/>
      <c r="AM13" s="525"/>
      <c r="AN13" s="525"/>
      <c r="AO13" s="525"/>
      <c r="AP13" s="525"/>
      <c r="AQ13" s="532"/>
    </row>
    <row r="14" spans="1:43" s="42" customFormat="1" ht="389.25" customHeight="1" thickBot="1" x14ac:dyDescent="0.25">
      <c r="A14" s="538">
        <v>179</v>
      </c>
      <c r="B14" s="539" t="s">
        <v>109</v>
      </c>
      <c r="C14" s="83">
        <v>299</v>
      </c>
      <c r="D14" s="84" t="s">
        <v>110</v>
      </c>
      <c r="E14" s="83">
        <v>314</v>
      </c>
      <c r="F14" s="76" t="s">
        <v>111</v>
      </c>
      <c r="G14" s="76" t="s">
        <v>117</v>
      </c>
      <c r="H14" s="83" t="s">
        <v>114</v>
      </c>
      <c r="I14" s="85">
        <v>32</v>
      </c>
      <c r="J14" s="86">
        <v>1.6</v>
      </c>
      <c r="K14" s="87">
        <v>1.6</v>
      </c>
      <c r="L14" s="87">
        <v>1.25</v>
      </c>
      <c r="M14" s="87">
        <v>13.4</v>
      </c>
      <c r="N14" s="87">
        <v>13.4</v>
      </c>
      <c r="O14" s="87">
        <v>13.4</v>
      </c>
      <c r="P14" s="87">
        <v>13.4</v>
      </c>
      <c r="Q14" s="77">
        <f>7.51</f>
        <v>7.51</v>
      </c>
      <c r="R14" s="88">
        <v>16</v>
      </c>
      <c r="S14" s="88">
        <v>16</v>
      </c>
      <c r="T14" s="88">
        <v>14</v>
      </c>
      <c r="U14" s="64">
        <v>14</v>
      </c>
      <c r="V14" s="89">
        <v>13.62</v>
      </c>
      <c r="W14" s="90">
        <v>30</v>
      </c>
      <c r="X14" s="86">
        <v>30</v>
      </c>
      <c r="Y14" s="86">
        <v>30</v>
      </c>
      <c r="Z14" s="86">
        <v>30</v>
      </c>
      <c r="AA14" s="85">
        <v>31.64</v>
      </c>
      <c r="AB14" s="88"/>
      <c r="AC14" s="88">
        <v>32</v>
      </c>
      <c r="AD14" s="88"/>
      <c r="AE14" s="85"/>
      <c r="AF14" s="85"/>
      <c r="AG14" s="91"/>
      <c r="AH14" s="128">
        <v>33.869999999999997</v>
      </c>
      <c r="AI14" s="110"/>
      <c r="AJ14" s="110"/>
      <c r="AK14" s="111">
        <f>AH14/AC14</f>
        <v>1.0584374999999999</v>
      </c>
      <c r="AL14" s="112">
        <f>AH14/I14</f>
        <v>1.0584374999999999</v>
      </c>
      <c r="AM14" s="113" t="s">
        <v>397</v>
      </c>
      <c r="AN14" s="80" t="s">
        <v>335</v>
      </c>
      <c r="AO14" s="80" t="s">
        <v>335</v>
      </c>
      <c r="AP14" s="114" t="s">
        <v>398</v>
      </c>
      <c r="AQ14" s="115" t="s">
        <v>399</v>
      </c>
    </row>
    <row r="15" spans="1:43" s="3" customFormat="1" ht="167.25" customHeight="1" thickBot="1" x14ac:dyDescent="0.25">
      <c r="A15" s="538"/>
      <c r="B15" s="539"/>
      <c r="C15" s="83">
        <v>300</v>
      </c>
      <c r="D15" s="84" t="s">
        <v>115</v>
      </c>
      <c r="E15" s="83">
        <v>315</v>
      </c>
      <c r="F15" s="76" t="s">
        <v>116</v>
      </c>
      <c r="G15" s="76" t="s">
        <v>120</v>
      </c>
      <c r="H15" s="83" t="s">
        <v>112</v>
      </c>
      <c r="I15" s="85">
        <v>8</v>
      </c>
      <c r="J15" s="88"/>
      <c r="K15" s="85"/>
      <c r="L15" s="85">
        <v>0</v>
      </c>
      <c r="M15" s="88">
        <v>4</v>
      </c>
      <c r="N15" s="88">
        <v>4</v>
      </c>
      <c r="O15" s="88">
        <v>4</v>
      </c>
      <c r="P15" s="88">
        <v>4</v>
      </c>
      <c r="Q15" s="76">
        <v>4</v>
      </c>
      <c r="R15" s="88">
        <v>4</v>
      </c>
      <c r="S15" s="88">
        <v>4</v>
      </c>
      <c r="T15" s="88">
        <v>4</v>
      </c>
      <c r="U15" s="92">
        <v>4</v>
      </c>
      <c r="V15" s="89">
        <v>2.2999999999999998</v>
      </c>
      <c r="W15" s="93">
        <v>1.7</v>
      </c>
      <c r="X15" s="88">
        <v>1.7</v>
      </c>
      <c r="Y15" s="88">
        <v>1.7</v>
      </c>
      <c r="Z15" s="99">
        <v>1.7</v>
      </c>
      <c r="AA15" s="85">
        <v>1.7</v>
      </c>
      <c r="AB15" s="88"/>
      <c r="AC15" s="88">
        <v>0</v>
      </c>
      <c r="AD15" s="88"/>
      <c r="AE15" s="85"/>
      <c r="AF15" s="85"/>
      <c r="AG15" s="77"/>
      <c r="AH15" s="88">
        <v>0</v>
      </c>
      <c r="AI15" s="103"/>
      <c r="AJ15" s="103"/>
      <c r="AK15" s="111">
        <v>1</v>
      </c>
      <c r="AL15" s="112">
        <f>(L15+Q15+V15+AA15+AH15)/I15</f>
        <v>1</v>
      </c>
      <c r="AM15" s="109" t="s">
        <v>400</v>
      </c>
      <c r="AN15" s="106" t="s">
        <v>335</v>
      </c>
      <c r="AO15" s="109" t="s">
        <v>335</v>
      </c>
      <c r="AP15" s="109" t="s">
        <v>401</v>
      </c>
      <c r="AQ15" s="109" t="s">
        <v>402</v>
      </c>
    </row>
    <row r="16" spans="1:43" s="3" customFormat="1" ht="409.6" customHeight="1" x14ac:dyDescent="0.2">
      <c r="A16" s="538"/>
      <c r="B16" s="539"/>
      <c r="C16" s="544">
        <v>302</v>
      </c>
      <c r="D16" s="542" t="s">
        <v>118</v>
      </c>
      <c r="E16" s="83">
        <v>317</v>
      </c>
      <c r="F16" s="76" t="s">
        <v>119</v>
      </c>
      <c r="G16" s="76" t="s">
        <v>120</v>
      </c>
      <c r="H16" s="83" t="s">
        <v>112</v>
      </c>
      <c r="I16" s="85">
        <v>40</v>
      </c>
      <c r="J16" s="88"/>
      <c r="K16" s="85"/>
      <c r="L16" s="85">
        <v>0</v>
      </c>
      <c r="M16" s="88">
        <v>2</v>
      </c>
      <c r="N16" s="88">
        <v>2</v>
      </c>
      <c r="O16" s="88">
        <v>2</v>
      </c>
      <c r="P16" s="88">
        <v>2</v>
      </c>
      <c r="Q16" s="76">
        <v>0.31</v>
      </c>
      <c r="R16" s="88">
        <v>2</v>
      </c>
      <c r="S16" s="88">
        <v>2</v>
      </c>
      <c r="T16" s="88">
        <v>2</v>
      </c>
      <c r="U16" s="92">
        <v>1.56</v>
      </c>
      <c r="V16" s="89"/>
      <c r="W16" s="94">
        <v>0</v>
      </c>
      <c r="X16" s="86">
        <v>0</v>
      </c>
      <c r="Y16" s="86"/>
      <c r="Z16" s="86"/>
      <c r="AA16" s="87"/>
      <c r="AB16" s="88"/>
      <c r="AC16" s="88">
        <v>0</v>
      </c>
      <c r="AD16" s="88"/>
      <c r="AE16" s="85"/>
      <c r="AF16" s="85"/>
      <c r="AG16" s="77"/>
      <c r="AH16" s="88">
        <v>0</v>
      </c>
      <c r="AI16" s="103"/>
      <c r="AJ16" s="103"/>
      <c r="AK16" s="116">
        <v>0</v>
      </c>
      <c r="AL16" s="112">
        <f>(L16+Q16+V16+AA16+AH16)/I16</f>
        <v>7.7499999999999999E-3</v>
      </c>
      <c r="AM16" s="80" t="s">
        <v>355</v>
      </c>
      <c r="AN16" s="80" t="s">
        <v>335</v>
      </c>
      <c r="AO16" s="80" t="s">
        <v>335</v>
      </c>
      <c r="AP16" s="80"/>
      <c r="AQ16" s="117"/>
    </row>
    <row r="17" spans="1:45" s="3" customFormat="1" ht="263.25" customHeight="1" thickBot="1" x14ac:dyDescent="0.25">
      <c r="A17" s="538"/>
      <c r="B17" s="539"/>
      <c r="C17" s="545"/>
      <c r="D17" s="543"/>
      <c r="E17" s="83">
        <v>580</v>
      </c>
      <c r="F17" s="76" t="s">
        <v>334</v>
      </c>
      <c r="G17" s="76" t="s">
        <v>120</v>
      </c>
      <c r="H17" s="83"/>
      <c r="I17" s="85"/>
      <c r="J17" s="88"/>
      <c r="K17" s="85"/>
      <c r="L17" s="85"/>
      <c r="M17" s="88"/>
      <c r="N17" s="88"/>
      <c r="O17" s="88"/>
      <c r="P17" s="88"/>
      <c r="Q17" s="76"/>
      <c r="R17" s="88"/>
      <c r="S17" s="88"/>
      <c r="T17" s="92">
        <v>30</v>
      </c>
      <c r="U17" s="92">
        <v>30</v>
      </c>
      <c r="V17" s="89">
        <v>69.929999999999993</v>
      </c>
      <c r="W17" s="75">
        <v>95.93</v>
      </c>
      <c r="X17" s="86">
        <v>95.93</v>
      </c>
      <c r="Y17" s="86">
        <v>95.93</v>
      </c>
      <c r="Z17" s="86">
        <v>95.93</v>
      </c>
      <c r="AA17" s="87">
        <v>327.06</v>
      </c>
      <c r="AB17" s="88"/>
      <c r="AC17" s="88">
        <v>100</v>
      </c>
      <c r="AD17" s="88"/>
      <c r="AE17" s="85"/>
      <c r="AF17" s="85"/>
      <c r="AG17" s="76"/>
      <c r="AH17" s="103">
        <v>331.06</v>
      </c>
      <c r="AI17" s="103"/>
      <c r="AJ17" s="103"/>
      <c r="AK17" s="116">
        <f>AH17/AC17</f>
        <v>3.3106</v>
      </c>
      <c r="AL17" s="112">
        <v>3.2706</v>
      </c>
      <c r="AM17" s="109" t="s">
        <v>416</v>
      </c>
      <c r="AN17" s="106" t="s">
        <v>335</v>
      </c>
      <c r="AO17" s="109" t="s">
        <v>335</v>
      </c>
      <c r="AP17" s="109" t="s">
        <v>403</v>
      </c>
      <c r="AQ17" s="109" t="s">
        <v>404</v>
      </c>
    </row>
    <row r="18" spans="1:45" s="3" customFormat="1" ht="167.25" customHeight="1" thickBot="1" x14ac:dyDescent="0.25">
      <c r="A18" s="538"/>
      <c r="B18" s="539"/>
      <c r="C18" s="83">
        <v>303</v>
      </c>
      <c r="D18" s="84" t="s">
        <v>121</v>
      </c>
      <c r="E18" s="83">
        <v>318</v>
      </c>
      <c r="F18" s="76" t="s">
        <v>122</v>
      </c>
      <c r="G18" s="76" t="s">
        <v>120</v>
      </c>
      <c r="H18" s="83" t="s">
        <v>114</v>
      </c>
      <c r="I18" s="85">
        <v>45</v>
      </c>
      <c r="J18" s="88"/>
      <c r="K18" s="85">
        <v>10</v>
      </c>
      <c r="L18" s="87">
        <v>1.5</v>
      </c>
      <c r="M18" s="86">
        <v>12.5</v>
      </c>
      <c r="N18" s="86">
        <v>12.5</v>
      </c>
      <c r="O18" s="86">
        <v>12.5</v>
      </c>
      <c r="P18" s="86">
        <v>12.5</v>
      </c>
      <c r="Q18" s="77">
        <v>12.5</v>
      </c>
      <c r="R18" s="88">
        <v>25</v>
      </c>
      <c r="S18" s="88">
        <v>25</v>
      </c>
      <c r="T18" s="88">
        <v>25</v>
      </c>
      <c r="U18" s="95">
        <v>25</v>
      </c>
      <c r="V18" s="89">
        <v>25</v>
      </c>
      <c r="W18" s="93">
        <v>40</v>
      </c>
      <c r="X18" s="88">
        <v>40</v>
      </c>
      <c r="Y18" s="88">
        <v>40</v>
      </c>
      <c r="Z18" s="85">
        <v>40</v>
      </c>
      <c r="AA18" s="85">
        <v>42</v>
      </c>
      <c r="AB18" s="88"/>
      <c r="AC18" s="88">
        <v>45</v>
      </c>
      <c r="AD18" s="88"/>
      <c r="AE18" s="85"/>
      <c r="AF18" s="85"/>
      <c r="AG18" s="76"/>
      <c r="AH18" s="129">
        <v>45</v>
      </c>
      <c r="AI18" s="103"/>
      <c r="AJ18" s="103"/>
      <c r="AK18" s="118">
        <f>AH18/AC18</f>
        <v>1</v>
      </c>
      <c r="AL18" s="112">
        <v>0.93333333333333335</v>
      </c>
      <c r="AM18" s="109" t="s">
        <v>417</v>
      </c>
      <c r="AN18" s="106" t="s">
        <v>335</v>
      </c>
      <c r="AO18" s="109" t="s">
        <v>335</v>
      </c>
      <c r="AP18" s="109" t="s">
        <v>398</v>
      </c>
      <c r="AQ18" s="109" t="s">
        <v>399</v>
      </c>
    </row>
    <row r="19" spans="1:45" s="3" customFormat="1" ht="167.25" customHeight="1" thickBot="1" x14ac:dyDescent="0.25">
      <c r="A19" s="538"/>
      <c r="B19" s="539"/>
      <c r="C19" s="540">
        <v>304</v>
      </c>
      <c r="D19" s="541" t="s">
        <v>123</v>
      </c>
      <c r="E19" s="83">
        <v>319</v>
      </c>
      <c r="F19" s="76" t="s">
        <v>124</v>
      </c>
      <c r="G19" s="76" t="s">
        <v>120</v>
      </c>
      <c r="H19" s="83" t="s">
        <v>114</v>
      </c>
      <c r="I19" s="85">
        <v>520</v>
      </c>
      <c r="J19" s="88"/>
      <c r="K19" s="85"/>
      <c r="L19" s="85">
        <v>0</v>
      </c>
      <c r="M19" s="88">
        <v>120</v>
      </c>
      <c r="N19" s="88">
        <v>120</v>
      </c>
      <c r="O19" s="88">
        <v>120</v>
      </c>
      <c r="P19" s="88">
        <v>120</v>
      </c>
      <c r="Q19" s="96">
        <v>73.180000000000007</v>
      </c>
      <c r="R19" s="88">
        <v>180</v>
      </c>
      <c r="S19" s="88">
        <v>180</v>
      </c>
      <c r="T19" s="88">
        <v>133.34</v>
      </c>
      <c r="U19" s="97">
        <f>+T19</f>
        <v>133.34</v>
      </c>
      <c r="V19" s="89">
        <v>118.29</v>
      </c>
      <c r="W19" s="93">
        <v>260</v>
      </c>
      <c r="X19" s="86">
        <v>137.07</v>
      </c>
      <c r="Y19" s="88">
        <v>137.07</v>
      </c>
      <c r="Z19" s="88">
        <v>137.07</v>
      </c>
      <c r="AA19" s="85">
        <v>134.61000000000001</v>
      </c>
      <c r="AB19" s="88"/>
      <c r="AC19" s="88">
        <v>520</v>
      </c>
      <c r="AD19" s="88"/>
      <c r="AE19" s="85"/>
      <c r="AF19" s="85"/>
      <c r="AG19" s="77"/>
      <c r="AH19" s="130">
        <v>143.75000000000003</v>
      </c>
      <c r="AI19" s="119"/>
      <c r="AJ19" s="119"/>
      <c r="AK19" s="118">
        <f>AH19/AC19</f>
        <v>0.27644230769230776</v>
      </c>
      <c r="AL19" s="112">
        <v>0.25886538461538466</v>
      </c>
      <c r="AM19" s="109" t="s">
        <v>418</v>
      </c>
      <c r="AN19" s="106"/>
      <c r="AO19" s="109"/>
      <c r="AP19" s="109" t="s">
        <v>405</v>
      </c>
      <c r="AQ19" s="109" t="s">
        <v>406</v>
      </c>
    </row>
    <row r="20" spans="1:45" s="3" customFormat="1" ht="167.25" customHeight="1" x14ac:dyDescent="0.2">
      <c r="A20" s="538"/>
      <c r="B20" s="539"/>
      <c r="C20" s="540"/>
      <c r="D20" s="541"/>
      <c r="E20" s="83">
        <v>320</v>
      </c>
      <c r="F20" s="76" t="s">
        <v>125</v>
      </c>
      <c r="G20" s="76" t="s">
        <v>126</v>
      </c>
      <c r="H20" s="83" t="s">
        <v>112</v>
      </c>
      <c r="I20" s="85">
        <v>6</v>
      </c>
      <c r="J20" s="88"/>
      <c r="K20" s="85"/>
      <c r="L20" s="85">
        <v>0</v>
      </c>
      <c r="M20" s="88">
        <v>2</v>
      </c>
      <c r="N20" s="88">
        <v>2</v>
      </c>
      <c r="O20" s="88">
        <v>2</v>
      </c>
      <c r="P20" s="85">
        <v>2</v>
      </c>
      <c r="Q20" s="98">
        <v>2</v>
      </c>
      <c r="R20" s="88">
        <v>2</v>
      </c>
      <c r="S20" s="88">
        <v>2</v>
      </c>
      <c r="T20" s="88">
        <v>2</v>
      </c>
      <c r="U20" s="92">
        <v>2</v>
      </c>
      <c r="V20" s="89">
        <v>2</v>
      </c>
      <c r="W20" s="94">
        <v>1</v>
      </c>
      <c r="X20" s="88">
        <v>1</v>
      </c>
      <c r="Y20" s="88">
        <v>1</v>
      </c>
      <c r="Z20" s="88">
        <v>1</v>
      </c>
      <c r="AA20" s="85">
        <v>1</v>
      </c>
      <c r="AB20" s="88"/>
      <c r="AC20" s="88">
        <v>1</v>
      </c>
      <c r="AD20" s="88"/>
      <c r="AE20" s="85"/>
      <c r="AF20" s="85"/>
      <c r="AG20" s="76"/>
      <c r="AH20" s="103">
        <v>1</v>
      </c>
      <c r="AI20" s="120"/>
      <c r="AJ20" s="120"/>
      <c r="AK20" s="118">
        <f>AH20/AC20</f>
        <v>1</v>
      </c>
      <c r="AL20" s="112">
        <v>0.83333333333333337</v>
      </c>
      <c r="AM20" s="121" t="s">
        <v>419</v>
      </c>
      <c r="AN20" s="106"/>
      <c r="AO20" s="109"/>
      <c r="AP20" s="109" t="s">
        <v>387</v>
      </c>
      <c r="AQ20" s="109" t="s">
        <v>407</v>
      </c>
    </row>
    <row r="21" spans="1:45" s="3" customFormat="1" ht="167.25" customHeight="1" x14ac:dyDescent="0.2">
      <c r="A21" s="538">
        <v>180</v>
      </c>
      <c r="B21" s="539" t="s">
        <v>135</v>
      </c>
      <c r="C21" s="83">
        <v>305</v>
      </c>
      <c r="D21" s="84" t="s">
        <v>127</v>
      </c>
      <c r="E21" s="83">
        <v>321</v>
      </c>
      <c r="F21" s="76" t="s">
        <v>128</v>
      </c>
      <c r="G21" s="76" t="s">
        <v>129</v>
      </c>
      <c r="H21" s="83" t="s">
        <v>114</v>
      </c>
      <c r="I21" s="85">
        <v>2</v>
      </c>
      <c r="J21" s="88"/>
      <c r="K21" s="87">
        <v>0.2</v>
      </c>
      <c r="L21" s="87">
        <v>0.1</v>
      </c>
      <c r="M21" s="99">
        <v>0.8</v>
      </c>
      <c r="N21" s="99">
        <v>0.8</v>
      </c>
      <c r="O21" s="99">
        <v>0.8</v>
      </c>
      <c r="P21" s="99">
        <v>0.8</v>
      </c>
      <c r="Q21" s="96">
        <v>0.8</v>
      </c>
      <c r="R21" s="99">
        <v>1.4</v>
      </c>
      <c r="S21" s="99">
        <v>1.4</v>
      </c>
      <c r="T21" s="99">
        <v>1.4</v>
      </c>
      <c r="U21" s="64">
        <v>1.4</v>
      </c>
      <c r="V21" s="89">
        <v>1.4</v>
      </c>
      <c r="W21" s="94">
        <v>1.9</v>
      </c>
      <c r="X21" s="99">
        <v>1.9</v>
      </c>
      <c r="Y21" s="99">
        <v>1.9</v>
      </c>
      <c r="Z21" s="99">
        <v>1.9</v>
      </c>
      <c r="AA21" s="85">
        <v>1.9</v>
      </c>
      <c r="AB21" s="88"/>
      <c r="AC21" s="88">
        <v>2</v>
      </c>
      <c r="AD21" s="88"/>
      <c r="AE21" s="85"/>
      <c r="AF21" s="85"/>
      <c r="AG21" s="77"/>
      <c r="AH21" s="103">
        <v>2</v>
      </c>
      <c r="AI21" s="120"/>
      <c r="AJ21" s="119"/>
      <c r="AK21" s="118">
        <f>AH21/AC21</f>
        <v>1</v>
      </c>
      <c r="AL21" s="112">
        <v>0.95</v>
      </c>
      <c r="AM21" s="105" t="s">
        <v>385</v>
      </c>
      <c r="AN21" s="106" t="s">
        <v>335</v>
      </c>
      <c r="AO21" s="109" t="s">
        <v>335</v>
      </c>
      <c r="AP21" s="109" t="s">
        <v>408</v>
      </c>
      <c r="AQ21" s="109" t="s">
        <v>409</v>
      </c>
    </row>
    <row r="22" spans="1:45" s="3" customFormat="1" ht="167.25" customHeight="1" x14ac:dyDescent="0.2">
      <c r="A22" s="538"/>
      <c r="B22" s="539"/>
      <c r="C22" s="83">
        <v>306</v>
      </c>
      <c r="D22" s="84" t="s">
        <v>130</v>
      </c>
      <c r="E22" s="83">
        <v>322</v>
      </c>
      <c r="F22" s="76" t="s">
        <v>131</v>
      </c>
      <c r="G22" s="76" t="s">
        <v>117</v>
      </c>
      <c r="H22" s="83" t="s">
        <v>112</v>
      </c>
      <c r="I22" s="85">
        <v>14</v>
      </c>
      <c r="J22" s="88"/>
      <c r="K22" s="85"/>
      <c r="L22" s="85">
        <v>0</v>
      </c>
      <c r="M22" s="88">
        <v>0</v>
      </c>
      <c r="N22" s="88">
        <v>0</v>
      </c>
      <c r="O22" s="88">
        <v>0</v>
      </c>
      <c r="P22" s="88">
        <v>0</v>
      </c>
      <c r="Q22" s="98">
        <v>0</v>
      </c>
      <c r="R22" s="88">
        <v>0</v>
      </c>
      <c r="S22" s="88">
        <v>0</v>
      </c>
      <c r="T22" s="88">
        <v>0</v>
      </c>
      <c r="U22" s="92">
        <f>T22</f>
        <v>0</v>
      </c>
      <c r="V22" s="89"/>
      <c r="W22" s="94">
        <v>0.8</v>
      </c>
      <c r="X22" s="88">
        <v>0.8</v>
      </c>
      <c r="Y22" s="88">
        <v>0.8</v>
      </c>
      <c r="Z22" s="85">
        <v>15.9</v>
      </c>
      <c r="AA22" s="85">
        <v>15.9</v>
      </c>
      <c r="AB22" s="88"/>
      <c r="AC22" s="88">
        <v>0</v>
      </c>
      <c r="AD22" s="88"/>
      <c r="AE22" s="85"/>
      <c r="AF22" s="85"/>
      <c r="AG22" s="76"/>
      <c r="AH22" s="88">
        <v>0</v>
      </c>
      <c r="AI22" s="120"/>
      <c r="AJ22" s="120"/>
      <c r="AK22" s="116">
        <v>1</v>
      </c>
      <c r="AL22" s="122">
        <v>1.1357142857142857</v>
      </c>
      <c r="AM22" s="80" t="s">
        <v>392</v>
      </c>
      <c r="AN22" s="80" t="s">
        <v>388</v>
      </c>
      <c r="AO22" s="80" t="s">
        <v>388</v>
      </c>
      <c r="AP22" s="80" t="s">
        <v>389</v>
      </c>
      <c r="AQ22" s="117" t="s">
        <v>390</v>
      </c>
    </row>
    <row r="23" spans="1:45" s="3" customFormat="1" ht="167.25" customHeight="1" x14ac:dyDescent="0.2">
      <c r="A23" s="538"/>
      <c r="B23" s="539"/>
      <c r="C23" s="83">
        <v>307</v>
      </c>
      <c r="D23" s="84" t="s">
        <v>132</v>
      </c>
      <c r="E23" s="83">
        <v>551</v>
      </c>
      <c r="F23" s="76" t="s">
        <v>133</v>
      </c>
      <c r="G23" s="76" t="s">
        <v>134</v>
      </c>
      <c r="H23" s="83" t="s">
        <v>114</v>
      </c>
      <c r="I23" s="85">
        <v>1</v>
      </c>
      <c r="J23" s="88"/>
      <c r="K23" s="85"/>
      <c r="L23" s="89">
        <v>0.1</v>
      </c>
      <c r="M23" s="99">
        <v>0.4</v>
      </c>
      <c r="N23" s="99">
        <v>0.4</v>
      </c>
      <c r="O23" s="99">
        <v>0.4</v>
      </c>
      <c r="P23" s="99">
        <v>0.4</v>
      </c>
      <c r="Q23" s="98">
        <v>0.4</v>
      </c>
      <c r="R23" s="99">
        <v>0.7</v>
      </c>
      <c r="S23" s="99">
        <v>0.7</v>
      </c>
      <c r="T23" s="99">
        <v>0.7</v>
      </c>
      <c r="U23" s="64">
        <v>0.7</v>
      </c>
      <c r="V23" s="89">
        <v>0.7</v>
      </c>
      <c r="W23" s="94">
        <v>0.95</v>
      </c>
      <c r="X23" s="86">
        <v>0.95</v>
      </c>
      <c r="Y23" s="86">
        <v>0.95</v>
      </c>
      <c r="Z23" s="86">
        <v>0.95</v>
      </c>
      <c r="AA23" s="85">
        <v>0.95</v>
      </c>
      <c r="AB23" s="88"/>
      <c r="AC23" s="88">
        <v>1</v>
      </c>
      <c r="AD23" s="88"/>
      <c r="AE23" s="85"/>
      <c r="AF23" s="85"/>
      <c r="AG23" s="77"/>
      <c r="AH23" s="103">
        <v>1</v>
      </c>
      <c r="AI23" s="120"/>
      <c r="AJ23" s="120"/>
      <c r="AK23" s="118">
        <f>AH23/AC23</f>
        <v>1</v>
      </c>
      <c r="AL23" s="112">
        <v>0.95</v>
      </c>
      <c r="AM23" s="109" t="s">
        <v>410</v>
      </c>
      <c r="AN23" s="106" t="s">
        <v>335</v>
      </c>
      <c r="AO23" s="109" t="s">
        <v>335</v>
      </c>
      <c r="AP23" s="109" t="s">
        <v>411</v>
      </c>
      <c r="AQ23" s="109" t="s">
        <v>412</v>
      </c>
    </row>
    <row r="24" spans="1:45" s="3" customFormat="1" ht="282.60000000000002" customHeight="1" x14ac:dyDescent="0.2">
      <c r="A24" s="17">
        <v>182</v>
      </c>
      <c r="B24" s="59" t="s">
        <v>138</v>
      </c>
      <c r="C24" s="83">
        <v>311</v>
      </c>
      <c r="D24" s="84" t="s">
        <v>136</v>
      </c>
      <c r="E24" s="83">
        <v>327</v>
      </c>
      <c r="F24" s="76" t="s">
        <v>137</v>
      </c>
      <c r="G24" s="76" t="s">
        <v>120</v>
      </c>
      <c r="H24" s="83" t="s">
        <v>114</v>
      </c>
      <c r="I24" s="85">
        <v>100</v>
      </c>
      <c r="J24" s="88"/>
      <c r="K24" s="87">
        <v>58.98</v>
      </c>
      <c r="L24" s="87">
        <v>58.98</v>
      </c>
      <c r="M24" s="88">
        <v>76080</v>
      </c>
      <c r="N24" s="88">
        <v>76080</v>
      </c>
      <c r="O24" s="88">
        <v>76080</v>
      </c>
      <c r="P24" s="86">
        <v>71</v>
      </c>
      <c r="Q24" s="96">
        <v>76.08</v>
      </c>
      <c r="R24" s="88">
        <v>80</v>
      </c>
      <c r="S24" s="88">
        <v>80</v>
      </c>
      <c r="T24" s="88">
        <v>80</v>
      </c>
      <c r="U24" s="92">
        <v>80</v>
      </c>
      <c r="V24" s="89">
        <v>78.809999999999988</v>
      </c>
      <c r="W24" s="94">
        <v>98</v>
      </c>
      <c r="X24" s="88">
        <v>98</v>
      </c>
      <c r="Y24" s="88">
        <v>100</v>
      </c>
      <c r="Z24" s="85">
        <v>100</v>
      </c>
      <c r="AA24" s="85">
        <v>141.25</v>
      </c>
      <c r="AB24" s="88"/>
      <c r="AC24" s="88">
        <v>100</v>
      </c>
      <c r="AD24" s="88"/>
      <c r="AE24" s="85"/>
      <c r="AF24" s="85"/>
      <c r="AG24" s="77"/>
      <c r="AH24" s="110">
        <v>141.9</v>
      </c>
      <c r="AI24" s="123"/>
      <c r="AJ24" s="123"/>
      <c r="AK24" s="118">
        <f>AH24/AC24</f>
        <v>1.419</v>
      </c>
      <c r="AL24" s="112">
        <v>1.4125000000000001</v>
      </c>
      <c r="AM24" s="124" t="s">
        <v>420</v>
      </c>
      <c r="AN24" s="125" t="s">
        <v>335</v>
      </c>
      <c r="AO24" s="125" t="s">
        <v>335</v>
      </c>
      <c r="AP24" s="105" t="s">
        <v>413</v>
      </c>
      <c r="AQ24" s="104" t="s">
        <v>421</v>
      </c>
    </row>
    <row r="25" spans="1:45" s="3" customFormat="1" ht="167.25" customHeight="1" x14ac:dyDescent="0.2">
      <c r="A25" s="538">
        <v>183</v>
      </c>
      <c r="B25" s="539" t="s">
        <v>139</v>
      </c>
      <c r="C25" s="83">
        <v>313</v>
      </c>
      <c r="D25" s="84" t="s">
        <v>140</v>
      </c>
      <c r="E25" s="83">
        <v>329</v>
      </c>
      <c r="F25" s="76" t="s">
        <v>141</v>
      </c>
      <c r="G25" s="76" t="s">
        <v>142</v>
      </c>
      <c r="H25" s="83" t="s">
        <v>114</v>
      </c>
      <c r="I25" s="85">
        <v>500</v>
      </c>
      <c r="J25" s="88"/>
      <c r="K25" s="85">
        <v>80</v>
      </c>
      <c r="L25" s="85">
        <v>80</v>
      </c>
      <c r="M25" s="88">
        <v>130</v>
      </c>
      <c r="N25" s="88">
        <v>130</v>
      </c>
      <c r="O25" s="88">
        <v>130</v>
      </c>
      <c r="P25" s="88">
        <v>130</v>
      </c>
      <c r="Q25" s="98">
        <v>91</v>
      </c>
      <c r="R25" s="88">
        <v>161</v>
      </c>
      <c r="S25" s="88">
        <v>161</v>
      </c>
      <c r="T25" s="88">
        <v>161</v>
      </c>
      <c r="U25" s="92">
        <v>161</v>
      </c>
      <c r="V25" s="89">
        <v>161</v>
      </c>
      <c r="W25" s="100">
        <v>450</v>
      </c>
      <c r="X25" s="88">
        <v>450</v>
      </c>
      <c r="Y25" s="88">
        <v>450</v>
      </c>
      <c r="Z25" s="88">
        <v>450</v>
      </c>
      <c r="AA25" s="85">
        <v>438</v>
      </c>
      <c r="AB25" s="88"/>
      <c r="AC25" s="88">
        <v>500</v>
      </c>
      <c r="AD25" s="88"/>
      <c r="AE25" s="85"/>
      <c r="AF25" s="85"/>
      <c r="AG25" s="76"/>
      <c r="AH25" s="103">
        <v>500</v>
      </c>
      <c r="AI25" s="120"/>
      <c r="AJ25" s="120"/>
      <c r="AK25" s="118">
        <f>AH25/AC25</f>
        <v>1</v>
      </c>
      <c r="AL25" s="112">
        <v>0.876</v>
      </c>
      <c r="AM25" s="109" t="s">
        <v>414</v>
      </c>
      <c r="AN25" s="106" t="s">
        <v>146</v>
      </c>
      <c r="AO25" s="109" t="s">
        <v>388</v>
      </c>
      <c r="AP25" s="109" t="s">
        <v>357</v>
      </c>
      <c r="AQ25" s="124" t="s">
        <v>415</v>
      </c>
    </row>
    <row r="26" spans="1:45" s="3" customFormat="1" ht="167.25" customHeight="1" thickBot="1" x14ac:dyDescent="0.25">
      <c r="A26" s="538"/>
      <c r="B26" s="539"/>
      <c r="C26" s="83">
        <v>314</v>
      </c>
      <c r="D26" s="84" t="s">
        <v>143</v>
      </c>
      <c r="E26" s="83">
        <v>330</v>
      </c>
      <c r="F26" s="76" t="s">
        <v>144</v>
      </c>
      <c r="G26" s="76" t="s">
        <v>145</v>
      </c>
      <c r="H26" s="76" t="s">
        <v>114</v>
      </c>
      <c r="I26" s="85">
        <v>2</v>
      </c>
      <c r="J26" s="88"/>
      <c r="K26" s="87">
        <v>0.2</v>
      </c>
      <c r="L26" s="87">
        <v>0.2</v>
      </c>
      <c r="M26" s="86">
        <v>1.2</v>
      </c>
      <c r="N26" s="86">
        <v>1.2</v>
      </c>
      <c r="O26" s="86">
        <v>1.2</v>
      </c>
      <c r="P26" s="86">
        <v>1.2</v>
      </c>
      <c r="Q26" s="96">
        <v>1.2</v>
      </c>
      <c r="R26" s="86">
        <v>1.5</v>
      </c>
      <c r="S26" s="86">
        <v>1.5</v>
      </c>
      <c r="T26" s="86">
        <v>1.5</v>
      </c>
      <c r="U26" s="97">
        <v>1.5</v>
      </c>
      <c r="V26" s="89">
        <v>1.5</v>
      </c>
      <c r="W26" s="97">
        <v>2</v>
      </c>
      <c r="X26" s="86">
        <v>2</v>
      </c>
      <c r="Y26" s="86">
        <v>2</v>
      </c>
      <c r="Z26" s="86">
        <v>2</v>
      </c>
      <c r="AA26" s="85">
        <v>2</v>
      </c>
      <c r="AB26" s="88"/>
      <c r="AC26" s="88">
        <v>0</v>
      </c>
      <c r="AD26" s="88"/>
      <c r="AE26" s="85"/>
      <c r="AF26" s="85"/>
      <c r="AG26" s="77"/>
      <c r="AH26" s="88">
        <v>0</v>
      </c>
      <c r="AI26" s="119"/>
      <c r="AJ26" s="119"/>
      <c r="AK26" s="118">
        <v>1</v>
      </c>
      <c r="AL26" s="112">
        <v>1</v>
      </c>
      <c r="AM26" s="126" t="s">
        <v>393</v>
      </c>
      <c r="AN26" s="80" t="s">
        <v>388</v>
      </c>
      <c r="AO26" s="80" t="s">
        <v>388</v>
      </c>
      <c r="AP26" s="126" t="s">
        <v>149</v>
      </c>
      <c r="AQ26" s="127" t="s">
        <v>358</v>
      </c>
    </row>
    <row r="27" spans="1:45" s="3" customFormat="1" ht="167.25" customHeight="1" x14ac:dyDescent="0.2">
      <c r="A27" s="81">
        <v>185</v>
      </c>
      <c r="B27" s="82" t="s">
        <v>379</v>
      </c>
      <c r="C27" s="83">
        <v>323</v>
      </c>
      <c r="D27" s="84" t="s">
        <v>380</v>
      </c>
      <c r="E27" s="83">
        <v>342</v>
      </c>
      <c r="F27" s="76" t="s">
        <v>381</v>
      </c>
      <c r="G27" s="76" t="s">
        <v>382</v>
      </c>
      <c r="H27" s="76"/>
      <c r="I27" s="97">
        <v>0</v>
      </c>
      <c r="J27" s="97">
        <v>0</v>
      </c>
      <c r="K27" s="97">
        <v>0</v>
      </c>
      <c r="L27" s="97">
        <v>0</v>
      </c>
      <c r="M27" s="97">
        <v>0</v>
      </c>
      <c r="N27" s="97">
        <v>0</v>
      </c>
      <c r="O27" s="97">
        <v>0</v>
      </c>
      <c r="P27" s="97">
        <v>0</v>
      </c>
      <c r="Q27" s="97">
        <v>0</v>
      </c>
      <c r="R27" s="97">
        <v>0</v>
      </c>
      <c r="S27" s="97">
        <v>0</v>
      </c>
      <c r="T27" s="97">
        <v>0</v>
      </c>
      <c r="U27" s="97">
        <v>0</v>
      </c>
      <c r="V27" s="97">
        <v>0</v>
      </c>
      <c r="W27" s="97">
        <v>0</v>
      </c>
      <c r="X27" s="97">
        <v>0</v>
      </c>
      <c r="Y27" s="86">
        <v>1</v>
      </c>
      <c r="Z27" s="86">
        <v>1</v>
      </c>
      <c r="AA27" s="87">
        <v>0.71</v>
      </c>
      <c r="AB27" s="88"/>
      <c r="AC27" s="88">
        <v>0</v>
      </c>
      <c r="AD27" s="88"/>
      <c r="AE27" s="85"/>
      <c r="AF27" s="85"/>
      <c r="AG27" s="77"/>
      <c r="AH27" s="88">
        <v>0</v>
      </c>
      <c r="AI27" s="110"/>
      <c r="AJ27" s="110"/>
      <c r="AK27" s="118">
        <f>AJ27</f>
        <v>0</v>
      </c>
      <c r="AL27" s="112">
        <f>AJ27/Z27</f>
        <v>0</v>
      </c>
      <c r="AM27" s="80" t="s">
        <v>383</v>
      </c>
      <c r="AN27" s="80" t="s">
        <v>335</v>
      </c>
      <c r="AO27" s="80" t="s">
        <v>335</v>
      </c>
      <c r="AP27" s="80"/>
      <c r="AQ27" s="80" t="s">
        <v>384</v>
      </c>
    </row>
    <row r="28" spans="1:45" ht="90.75" customHeight="1" thickBot="1" x14ac:dyDescent="0.3">
      <c r="A28" s="501" t="s">
        <v>32</v>
      </c>
      <c r="B28" s="502"/>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502"/>
      <c r="AC28" s="502"/>
      <c r="AD28" s="502"/>
      <c r="AE28" s="502"/>
      <c r="AF28" s="502"/>
      <c r="AG28" s="502"/>
      <c r="AH28" s="502"/>
      <c r="AI28" s="502"/>
      <c r="AJ28" s="502"/>
      <c r="AK28" s="502"/>
      <c r="AL28" s="502"/>
      <c r="AM28" s="502"/>
      <c r="AN28" s="502"/>
      <c r="AO28" s="502"/>
      <c r="AP28" s="502"/>
      <c r="AQ28" s="503"/>
    </row>
    <row r="29" spans="1:45" ht="15.75" x14ac:dyDescent="0.25">
      <c r="AS29" s="33"/>
    </row>
  </sheetData>
  <mergeCells count="52">
    <mergeCell ref="A25:A26"/>
    <mergeCell ref="B25:B26"/>
    <mergeCell ref="C19:C20"/>
    <mergeCell ref="D19:D20"/>
    <mergeCell ref="A14:A20"/>
    <mergeCell ref="B14:B20"/>
    <mergeCell ref="A21:A23"/>
    <mergeCell ref="B21:B23"/>
    <mergeCell ref="D16:D17"/>
    <mergeCell ref="C16:C17"/>
    <mergeCell ref="A11:A13"/>
    <mergeCell ref="B11:B13"/>
    <mergeCell ref="C11:C13"/>
    <mergeCell ref="D11:D13"/>
    <mergeCell ref="E11:E13"/>
    <mergeCell ref="P5:AQ5"/>
    <mergeCell ref="I11:I13"/>
    <mergeCell ref="AP10:AP13"/>
    <mergeCell ref="AQ10:AQ13"/>
    <mergeCell ref="F11:F13"/>
    <mergeCell ref="G11:G13"/>
    <mergeCell ref="H11:H13"/>
    <mergeCell ref="AI12:AI13"/>
    <mergeCell ref="AJ12:AJ13"/>
    <mergeCell ref="AK10:AK13"/>
    <mergeCell ref="AL10:AL13"/>
    <mergeCell ref="AN10:AN13"/>
    <mergeCell ref="R12:V12"/>
    <mergeCell ref="W12:AA12"/>
    <mergeCell ref="AB12:AF12"/>
    <mergeCell ref="J11:AF11"/>
    <mergeCell ref="AM10:AM13"/>
    <mergeCell ref="AG12:AG13"/>
    <mergeCell ref="AH12:AH13"/>
    <mergeCell ref="E10:AJ10"/>
    <mergeCell ref="AG11:AJ11"/>
    <mergeCell ref="A28:AQ28"/>
    <mergeCell ref="A2:F5"/>
    <mergeCell ref="A10:B10"/>
    <mergeCell ref="G2:AQ2"/>
    <mergeCell ref="G3:AQ3"/>
    <mergeCell ref="P8:AQ8"/>
    <mergeCell ref="G4:O4"/>
    <mergeCell ref="C10:D10"/>
    <mergeCell ref="A7:O7"/>
    <mergeCell ref="A8:O8"/>
    <mergeCell ref="P7:AQ7"/>
    <mergeCell ref="AO10:AO13"/>
    <mergeCell ref="P4:AQ4"/>
    <mergeCell ref="J12:L12"/>
    <mergeCell ref="M12:Q12"/>
    <mergeCell ref="G5:O5"/>
  </mergeCells>
  <phoneticPr fontId="8" type="noConversion"/>
  <dataValidations count="3">
    <dataValidation type="list" allowBlank="1" showInputMessage="1" showErrorMessage="1" sqref="H14 H16:H25" xr:uid="{00000000-0002-0000-0000-000000000000}">
      <formula1>$AS$14:$AS$29</formula1>
    </dataValidation>
    <dataValidation type="list" allowBlank="1" showInputMessage="1" showErrorMessage="1" sqref="H15" xr:uid="{00000000-0002-0000-0000-000001000000}">
      <formula1>$AS$15:$AS$19</formula1>
    </dataValidation>
    <dataValidation type="list" allowBlank="1" showInputMessage="1" showErrorMessage="1" sqref="H26:H27" xr:uid="{00000000-0002-0000-0000-000002000000}">
      <formula1>$B$26:$B$26</formula1>
    </dataValidation>
  </dataValidations>
  <printOptions horizontalCentered="1" verticalCentered="1"/>
  <pageMargins left="0" right="0" top="0.55118110236220474" bottom="0" header="0.31496062992125984" footer="0.31496062992125984"/>
  <pageSetup scale="31" fitToHeight="2" orientation="landscape" r:id="rId1"/>
  <colBreaks count="1" manualBreakCount="1">
    <brk id="32" max="1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70"/>
  <sheetViews>
    <sheetView showGridLines="0" view="pageBreakPreview" topLeftCell="A2" zoomScale="60" zoomScaleNormal="50" workbookViewId="0">
      <selection activeCell="F9" sqref="F9:F14"/>
    </sheetView>
  </sheetViews>
  <sheetFormatPr baseColWidth="10" defaultColWidth="11.42578125" defaultRowHeight="15.75" x14ac:dyDescent="0.25"/>
  <cols>
    <col min="1" max="1" width="7.7109375" style="1" customWidth="1"/>
    <col min="2" max="2" width="12.42578125" style="1" customWidth="1"/>
    <col min="3" max="3" width="25.140625" style="1" customWidth="1"/>
    <col min="4" max="4" width="17.85546875" style="7" customWidth="1"/>
    <col min="5" max="5" width="16.140625" style="7" customWidth="1"/>
    <col min="6" max="6" width="14.140625" style="7" customWidth="1"/>
    <col min="7" max="7" width="13.85546875" style="19" customWidth="1"/>
    <col min="8" max="8" width="20.5703125" style="8" customWidth="1"/>
    <col min="9" max="9" width="14.85546875" style="8" customWidth="1"/>
    <col min="10" max="10" width="18.42578125" style="8" customWidth="1"/>
    <col min="11" max="11" width="18" style="8" customWidth="1"/>
    <col min="12" max="15" width="19" style="8" customWidth="1"/>
    <col min="16" max="16" width="18.42578125" style="8" customWidth="1"/>
    <col min="17" max="21" width="19.42578125" style="8" customWidth="1"/>
    <col min="22" max="22" width="22.5703125" style="8" customWidth="1"/>
    <col min="23" max="23" width="20.140625" style="8" customWidth="1"/>
    <col min="24" max="24" width="38.5703125" style="8" customWidth="1"/>
    <col min="25" max="25" width="25" style="8" customWidth="1"/>
    <col min="26" max="26" width="19.42578125" style="8" bestFit="1" customWidth="1"/>
    <col min="27" max="27" width="19.42578125" style="8" customWidth="1"/>
    <col min="28" max="28" width="29.85546875" style="8" customWidth="1"/>
    <col min="29" max="29" width="8" style="8" customWidth="1"/>
    <col min="30" max="30" width="14.140625" style="8" customWidth="1"/>
    <col min="31" max="31" width="15.5703125" style="8" customWidth="1"/>
    <col min="32" max="32" width="20.85546875" style="1" customWidth="1"/>
    <col min="33" max="33" width="18.85546875" style="1" customWidth="1"/>
    <col min="34" max="34" width="22.28515625" style="18" hidden="1" customWidth="1"/>
    <col min="35" max="35" width="21.5703125" style="18" hidden="1" customWidth="1"/>
    <col min="36" max="36" width="20.42578125" style="1" customWidth="1"/>
    <col min="37" max="37" width="15.85546875" style="1" customWidth="1"/>
    <col min="38" max="38" width="42.140625" style="1" customWidth="1"/>
    <col min="39" max="39" width="16.85546875" style="1" customWidth="1"/>
    <col min="40" max="40" width="12.85546875" style="1" customWidth="1"/>
    <col min="41" max="42" width="17.42578125" style="1" customWidth="1"/>
    <col min="43" max="45" width="11.42578125" style="1" customWidth="1"/>
    <col min="46" max="16384" width="11.42578125" style="1"/>
  </cols>
  <sheetData>
    <row r="1" spans="1:42" ht="38.25" customHeight="1" x14ac:dyDescent="0.25">
      <c r="A1" s="551"/>
      <c r="B1" s="552"/>
      <c r="C1" s="552"/>
      <c r="D1" s="552"/>
      <c r="E1" s="552"/>
      <c r="F1" s="569" t="s">
        <v>0</v>
      </c>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c r="AI1" s="570"/>
      <c r="AJ1" s="570"/>
      <c r="AK1" s="570"/>
      <c r="AL1" s="570"/>
      <c r="AM1" s="570"/>
      <c r="AN1" s="570"/>
      <c r="AO1" s="570"/>
      <c r="AP1" s="571"/>
    </row>
    <row r="2" spans="1:42" ht="30.75" customHeight="1" x14ac:dyDescent="0.25">
      <c r="A2" s="553"/>
      <c r="B2" s="554"/>
      <c r="C2" s="554"/>
      <c r="D2" s="554"/>
      <c r="E2" s="554"/>
      <c r="F2" s="563" t="s">
        <v>104</v>
      </c>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564"/>
      <c r="AN2" s="564"/>
      <c r="AO2" s="564"/>
      <c r="AP2" s="565"/>
    </row>
    <row r="3" spans="1:42" ht="27.75" customHeight="1" x14ac:dyDescent="0.25">
      <c r="A3" s="553"/>
      <c r="B3" s="554"/>
      <c r="C3" s="554"/>
      <c r="D3" s="554"/>
      <c r="E3" s="554"/>
      <c r="F3" s="514" t="s">
        <v>1</v>
      </c>
      <c r="G3" s="514"/>
      <c r="H3" s="514"/>
      <c r="I3" s="514"/>
      <c r="J3" s="514"/>
      <c r="K3" s="514"/>
      <c r="L3" s="514"/>
      <c r="M3" s="514"/>
      <c r="N3" s="514"/>
      <c r="O3" s="563" t="s">
        <v>107</v>
      </c>
      <c r="P3" s="564"/>
      <c r="Q3" s="564"/>
      <c r="R3" s="564"/>
      <c r="S3" s="564"/>
      <c r="T3" s="564"/>
      <c r="U3" s="564"/>
      <c r="V3" s="564"/>
      <c r="W3" s="564"/>
      <c r="X3" s="564"/>
      <c r="Y3" s="564"/>
      <c r="Z3" s="564"/>
      <c r="AA3" s="564"/>
      <c r="AB3" s="564"/>
      <c r="AC3" s="564"/>
      <c r="AD3" s="564"/>
      <c r="AE3" s="564"/>
      <c r="AF3" s="564"/>
      <c r="AG3" s="564"/>
      <c r="AH3" s="564"/>
      <c r="AI3" s="564"/>
      <c r="AJ3" s="564"/>
      <c r="AK3" s="564"/>
      <c r="AL3" s="564"/>
      <c r="AM3" s="564"/>
      <c r="AN3" s="564"/>
      <c r="AO3" s="564"/>
      <c r="AP3" s="565"/>
    </row>
    <row r="4" spans="1:42" ht="26.25" customHeight="1" thickBot="1" x14ac:dyDescent="0.3">
      <c r="A4" s="555"/>
      <c r="B4" s="556"/>
      <c r="C4" s="556"/>
      <c r="D4" s="556"/>
      <c r="E4" s="556"/>
      <c r="F4" s="520" t="s">
        <v>3</v>
      </c>
      <c r="G4" s="520"/>
      <c r="H4" s="520"/>
      <c r="I4" s="520"/>
      <c r="J4" s="520"/>
      <c r="K4" s="520"/>
      <c r="L4" s="520"/>
      <c r="M4" s="520"/>
      <c r="N4" s="520"/>
      <c r="O4" s="566" t="s">
        <v>108</v>
      </c>
      <c r="P4" s="567"/>
      <c r="Q4" s="567"/>
      <c r="R4" s="567"/>
      <c r="S4" s="567"/>
      <c r="T4" s="567"/>
      <c r="U4" s="567"/>
      <c r="V4" s="567"/>
      <c r="W4" s="567"/>
      <c r="X4" s="567"/>
      <c r="Y4" s="567"/>
      <c r="Z4" s="567"/>
      <c r="AA4" s="567"/>
      <c r="AB4" s="567"/>
      <c r="AC4" s="567"/>
      <c r="AD4" s="567"/>
      <c r="AE4" s="567"/>
      <c r="AF4" s="567"/>
      <c r="AG4" s="567"/>
      <c r="AH4" s="567"/>
      <c r="AI4" s="567"/>
      <c r="AJ4" s="567"/>
      <c r="AK4" s="567"/>
      <c r="AL4" s="567"/>
      <c r="AM4" s="567"/>
      <c r="AN4" s="567"/>
      <c r="AO4" s="567"/>
      <c r="AP4" s="568"/>
    </row>
    <row r="5" spans="1:42" ht="14.25" customHeight="1" thickBot="1" x14ac:dyDescent="0.3">
      <c r="AI5" s="20"/>
    </row>
    <row r="6" spans="1:42" s="24" customFormat="1" ht="53.25" customHeight="1" thickBot="1" x14ac:dyDescent="0.3">
      <c r="A6" s="510" t="s">
        <v>55</v>
      </c>
      <c r="B6" s="511" t="s">
        <v>65</v>
      </c>
      <c r="C6" s="511"/>
      <c r="D6" s="511"/>
      <c r="E6" s="511" t="s">
        <v>69</v>
      </c>
      <c r="F6" s="511" t="s">
        <v>70</v>
      </c>
      <c r="G6" s="511" t="s">
        <v>71</v>
      </c>
      <c r="H6" s="511" t="s">
        <v>72</v>
      </c>
      <c r="I6" s="547" t="s">
        <v>73</v>
      </c>
      <c r="J6" s="548"/>
      <c r="K6" s="548"/>
      <c r="L6" s="548"/>
      <c r="M6" s="548"/>
      <c r="N6" s="548"/>
      <c r="O6" s="548"/>
      <c r="P6" s="548"/>
      <c r="Q6" s="549"/>
      <c r="R6" s="549"/>
      <c r="S6" s="549"/>
      <c r="T6" s="549"/>
      <c r="U6" s="549"/>
      <c r="V6" s="548"/>
      <c r="W6" s="548"/>
      <c r="X6" s="548"/>
      <c r="Y6" s="548"/>
      <c r="Z6" s="548"/>
      <c r="AA6" s="548"/>
      <c r="AB6" s="548"/>
      <c r="AC6" s="548"/>
      <c r="AD6" s="548"/>
      <c r="AE6" s="550"/>
      <c r="AF6" s="511" t="s">
        <v>74</v>
      </c>
      <c r="AG6" s="511"/>
      <c r="AH6" s="511"/>
      <c r="AI6" s="511"/>
      <c r="AJ6" s="511" t="s">
        <v>76</v>
      </c>
      <c r="AK6" s="511" t="s">
        <v>77</v>
      </c>
      <c r="AL6" s="511" t="s">
        <v>78</v>
      </c>
      <c r="AM6" s="511" t="s">
        <v>79</v>
      </c>
      <c r="AN6" s="511" t="s">
        <v>80</v>
      </c>
      <c r="AO6" s="511" t="s">
        <v>81</v>
      </c>
      <c r="AP6" s="587" t="s">
        <v>82</v>
      </c>
    </row>
    <row r="7" spans="1:42" s="24" customFormat="1" ht="53.25" customHeight="1" thickBot="1" x14ac:dyDescent="0.3">
      <c r="A7" s="536"/>
      <c r="B7" s="527"/>
      <c r="C7" s="527"/>
      <c r="D7" s="527"/>
      <c r="E7" s="527"/>
      <c r="F7" s="527"/>
      <c r="G7" s="527"/>
      <c r="H7" s="527"/>
      <c r="I7" s="526">
        <v>2012</v>
      </c>
      <c r="J7" s="526"/>
      <c r="K7" s="526"/>
      <c r="L7" s="526">
        <v>2013</v>
      </c>
      <c r="M7" s="526"/>
      <c r="N7" s="526"/>
      <c r="O7" s="526"/>
      <c r="P7" s="533"/>
      <c r="Q7" s="560">
        <v>2014</v>
      </c>
      <c r="R7" s="561"/>
      <c r="S7" s="561"/>
      <c r="T7" s="561"/>
      <c r="U7" s="562"/>
      <c r="V7" s="534">
        <v>2015</v>
      </c>
      <c r="W7" s="534"/>
      <c r="X7" s="534"/>
      <c r="Y7" s="534"/>
      <c r="Z7" s="535"/>
      <c r="AA7" s="533">
        <v>2016</v>
      </c>
      <c r="AB7" s="534"/>
      <c r="AC7" s="534"/>
      <c r="AD7" s="534"/>
      <c r="AE7" s="535"/>
      <c r="AF7" s="557" t="s">
        <v>75</v>
      </c>
      <c r="AG7" s="558"/>
      <c r="AH7" s="558"/>
      <c r="AI7" s="559"/>
      <c r="AJ7" s="527"/>
      <c r="AK7" s="527"/>
      <c r="AL7" s="527"/>
      <c r="AM7" s="527"/>
      <c r="AN7" s="527"/>
      <c r="AO7" s="527"/>
      <c r="AP7" s="588"/>
    </row>
    <row r="8" spans="1:42" s="24" customFormat="1" ht="55.5" customHeight="1" thickBot="1" x14ac:dyDescent="0.3">
      <c r="A8" s="586"/>
      <c r="B8" s="35" t="s">
        <v>66</v>
      </c>
      <c r="C8" s="35" t="s">
        <v>67</v>
      </c>
      <c r="D8" s="35" t="s">
        <v>68</v>
      </c>
      <c r="E8" s="529"/>
      <c r="F8" s="529"/>
      <c r="G8" s="529"/>
      <c r="H8" s="546"/>
      <c r="I8" s="37" t="s">
        <v>7</v>
      </c>
      <c r="J8" s="37" t="s">
        <v>8</v>
      </c>
      <c r="K8" s="37" t="s">
        <v>31</v>
      </c>
      <c r="L8" s="37" t="s">
        <v>5</v>
      </c>
      <c r="M8" s="37" t="s">
        <v>6</v>
      </c>
      <c r="N8" s="37" t="s">
        <v>7</v>
      </c>
      <c r="O8" s="37" t="s">
        <v>8</v>
      </c>
      <c r="P8" s="37" t="s">
        <v>31</v>
      </c>
      <c r="Q8" s="38" t="s">
        <v>5</v>
      </c>
      <c r="R8" s="38" t="s">
        <v>6</v>
      </c>
      <c r="S8" s="38" t="s">
        <v>7</v>
      </c>
      <c r="T8" s="38" t="s">
        <v>8</v>
      </c>
      <c r="U8" s="38" t="s">
        <v>31</v>
      </c>
      <c r="V8" s="37" t="s">
        <v>5</v>
      </c>
      <c r="W8" s="37" t="s">
        <v>6</v>
      </c>
      <c r="X8" s="37" t="s">
        <v>7</v>
      </c>
      <c r="Y8" s="37" t="s">
        <v>8</v>
      </c>
      <c r="Z8" s="37" t="s">
        <v>31</v>
      </c>
      <c r="AA8" s="37" t="s">
        <v>5</v>
      </c>
      <c r="AB8" s="37" t="s">
        <v>6</v>
      </c>
      <c r="AC8" s="37" t="s">
        <v>7</v>
      </c>
      <c r="AD8" s="37" t="s">
        <v>8</v>
      </c>
      <c r="AE8" s="37" t="s">
        <v>31</v>
      </c>
      <c r="AF8" s="37" t="s">
        <v>5</v>
      </c>
      <c r="AG8" s="37" t="s">
        <v>6</v>
      </c>
      <c r="AH8" s="37" t="s">
        <v>7</v>
      </c>
      <c r="AI8" s="37" t="s">
        <v>8</v>
      </c>
      <c r="AJ8" s="529"/>
      <c r="AK8" s="529"/>
      <c r="AL8" s="529"/>
      <c r="AM8" s="529"/>
      <c r="AN8" s="529"/>
      <c r="AO8" s="529"/>
      <c r="AP8" s="589"/>
    </row>
    <row r="9" spans="1:42" s="5" customFormat="1" ht="61.5" customHeight="1" thickBot="1" x14ac:dyDescent="0.3">
      <c r="A9" s="666" t="s">
        <v>150</v>
      </c>
      <c r="B9" s="590">
        <v>1</v>
      </c>
      <c r="C9" s="593" t="s">
        <v>151</v>
      </c>
      <c r="D9" s="596" t="s">
        <v>112</v>
      </c>
      <c r="E9" s="596">
        <v>299</v>
      </c>
      <c r="F9" s="596">
        <v>179</v>
      </c>
      <c r="G9" s="134" t="s">
        <v>9</v>
      </c>
      <c r="H9" s="155">
        <v>5</v>
      </c>
      <c r="I9" s="155"/>
      <c r="J9" s="155" t="s">
        <v>322</v>
      </c>
      <c r="K9" s="65">
        <v>1.4</v>
      </c>
      <c r="L9" s="65">
        <v>2.6</v>
      </c>
      <c r="M9" s="65" t="s">
        <v>171</v>
      </c>
      <c r="N9" s="65" t="s">
        <v>171</v>
      </c>
      <c r="O9" s="65">
        <v>2.6</v>
      </c>
      <c r="P9" s="65">
        <v>2.6</v>
      </c>
      <c r="Q9" s="155">
        <v>1</v>
      </c>
      <c r="R9" s="155">
        <v>1</v>
      </c>
      <c r="S9" s="155">
        <v>1</v>
      </c>
      <c r="T9" s="155">
        <v>1</v>
      </c>
      <c r="U9" s="155">
        <v>1</v>
      </c>
      <c r="V9" s="65"/>
      <c r="W9" s="155"/>
      <c r="X9" s="155"/>
      <c r="Y9" s="155"/>
      <c r="Z9" s="155"/>
      <c r="AA9" s="155"/>
      <c r="AB9" s="155"/>
      <c r="AC9" s="155"/>
      <c r="AD9" s="155"/>
      <c r="AE9" s="155"/>
      <c r="AF9" s="135"/>
      <c r="AG9" s="65"/>
      <c r="AH9" s="65"/>
      <c r="AI9" s="65"/>
      <c r="AJ9" s="136"/>
      <c r="AK9" s="137"/>
      <c r="AL9" s="605" t="s">
        <v>423</v>
      </c>
      <c r="AM9" s="574"/>
      <c r="AN9" s="574"/>
      <c r="AO9" s="574"/>
      <c r="AP9" s="572"/>
    </row>
    <row r="10" spans="1:42" s="5" customFormat="1" ht="61.5" customHeight="1" x14ac:dyDescent="0.25">
      <c r="A10" s="665"/>
      <c r="B10" s="591"/>
      <c r="C10" s="594"/>
      <c r="D10" s="597"/>
      <c r="E10" s="597"/>
      <c r="F10" s="597"/>
      <c r="G10" s="138" t="s">
        <v>10</v>
      </c>
      <c r="H10" s="146">
        <f>K10+P10+U10+V10+AA10</f>
        <v>69285000</v>
      </c>
      <c r="I10" s="146"/>
      <c r="J10" s="213">
        <v>19285000</v>
      </c>
      <c r="K10" s="146">
        <v>19285000</v>
      </c>
      <c r="L10" s="146">
        <v>141000000</v>
      </c>
      <c r="M10" s="146">
        <v>141000000</v>
      </c>
      <c r="N10" s="146">
        <v>141000000</v>
      </c>
      <c r="O10" s="146">
        <v>141000000</v>
      </c>
      <c r="P10" s="139">
        <v>0</v>
      </c>
      <c r="Q10" s="146">
        <v>50000000</v>
      </c>
      <c r="R10" s="146">
        <v>50000000</v>
      </c>
      <c r="S10" s="146">
        <v>50000000</v>
      </c>
      <c r="T10" s="146">
        <v>50000000</v>
      </c>
      <c r="U10" s="146">
        <v>50000000</v>
      </c>
      <c r="V10" s="66"/>
      <c r="W10" s="146"/>
      <c r="X10" s="146"/>
      <c r="Y10" s="146"/>
      <c r="Z10" s="146"/>
      <c r="AA10" s="146"/>
      <c r="AB10" s="146"/>
      <c r="AC10" s="146"/>
      <c r="AD10" s="146"/>
      <c r="AE10" s="146"/>
      <c r="AF10" s="135"/>
      <c r="AG10" s="139"/>
      <c r="AH10" s="139"/>
      <c r="AI10" s="139"/>
      <c r="AJ10" s="140"/>
      <c r="AK10" s="137"/>
      <c r="AL10" s="578"/>
      <c r="AM10" s="575"/>
      <c r="AN10" s="575"/>
      <c r="AO10" s="575"/>
      <c r="AP10" s="573"/>
    </row>
    <row r="11" spans="1:42" s="5" customFormat="1" ht="46.5" customHeight="1" x14ac:dyDescent="0.25">
      <c r="A11" s="665"/>
      <c r="B11" s="591"/>
      <c r="C11" s="594"/>
      <c r="D11" s="597"/>
      <c r="E11" s="597"/>
      <c r="F11" s="597"/>
      <c r="G11" s="138" t="s">
        <v>11</v>
      </c>
      <c r="H11" s="171"/>
      <c r="I11" s="171"/>
      <c r="J11" s="171"/>
      <c r="K11" s="171"/>
      <c r="L11" s="171"/>
      <c r="M11" s="171"/>
      <c r="N11" s="171"/>
      <c r="O11" s="171"/>
      <c r="P11" s="143"/>
      <c r="Q11" s="171"/>
      <c r="R11" s="171"/>
      <c r="S11" s="171"/>
      <c r="T11" s="171"/>
      <c r="U11" s="171"/>
      <c r="V11" s="66">
        <v>0</v>
      </c>
      <c r="W11" s="129">
        <v>0</v>
      </c>
      <c r="X11" s="129">
        <v>0</v>
      </c>
      <c r="Y11" s="171">
        <v>0</v>
      </c>
      <c r="Z11" s="171">
        <v>0</v>
      </c>
      <c r="AA11" s="171"/>
      <c r="AB11" s="171"/>
      <c r="AC11" s="171"/>
      <c r="AD11" s="171"/>
      <c r="AE11" s="171"/>
      <c r="AF11" s="141"/>
      <c r="AG11" s="129"/>
      <c r="AH11" s="142"/>
      <c r="AI11" s="143"/>
      <c r="AJ11" s="140"/>
      <c r="AK11" s="144"/>
      <c r="AL11" s="578"/>
      <c r="AM11" s="575"/>
      <c r="AN11" s="575"/>
      <c r="AO11" s="575"/>
      <c r="AP11" s="573"/>
    </row>
    <row r="12" spans="1:42" s="5" customFormat="1" ht="52.5" customHeight="1" x14ac:dyDescent="0.25">
      <c r="A12" s="665"/>
      <c r="B12" s="591"/>
      <c r="C12" s="594"/>
      <c r="D12" s="597"/>
      <c r="E12" s="597"/>
      <c r="F12" s="597"/>
      <c r="G12" s="138" t="s">
        <v>12</v>
      </c>
      <c r="H12" s="171"/>
      <c r="I12" s="171"/>
      <c r="J12" s="171"/>
      <c r="K12" s="171"/>
      <c r="L12" s="171"/>
      <c r="M12" s="171"/>
      <c r="N12" s="171"/>
      <c r="O12" s="171"/>
      <c r="P12" s="129"/>
      <c r="Q12" s="171"/>
      <c r="R12" s="171"/>
      <c r="S12" s="171"/>
      <c r="T12" s="171"/>
      <c r="U12" s="171"/>
      <c r="V12" s="66">
        <v>50000000</v>
      </c>
      <c r="W12" s="129">
        <v>50000000</v>
      </c>
      <c r="X12" s="129">
        <v>50000000</v>
      </c>
      <c r="Y12" s="171">
        <v>50000000</v>
      </c>
      <c r="Z12" s="171">
        <v>50000000</v>
      </c>
      <c r="AA12" s="171"/>
      <c r="AB12" s="171"/>
      <c r="AC12" s="171"/>
      <c r="AD12" s="171"/>
      <c r="AE12" s="171"/>
      <c r="AF12" s="145"/>
      <c r="AG12" s="146"/>
      <c r="AH12" s="147"/>
      <c r="AI12" s="129"/>
      <c r="AJ12" s="140"/>
      <c r="AK12" s="144"/>
      <c r="AL12" s="578"/>
      <c r="AM12" s="575"/>
      <c r="AN12" s="575"/>
      <c r="AO12" s="575"/>
      <c r="AP12" s="573"/>
    </row>
    <row r="13" spans="1:42" s="5" customFormat="1" ht="61.5" customHeight="1" x14ac:dyDescent="0.25">
      <c r="A13" s="665"/>
      <c r="B13" s="591"/>
      <c r="C13" s="594"/>
      <c r="D13" s="597"/>
      <c r="E13" s="597"/>
      <c r="F13" s="597"/>
      <c r="G13" s="138" t="s">
        <v>13</v>
      </c>
      <c r="H13" s="214">
        <f>H9+H11</f>
        <v>5</v>
      </c>
      <c r="I13" s="214"/>
      <c r="J13" s="214" t="str">
        <f>+J9</f>
        <v>2.00</v>
      </c>
      <c r="K13" s="67">
        <f t="shared" ref="K13:O14" si="0">+K9</f>
        <v>1.4</v>
      </c>
      <c r="L13" s="67">
        <f t="shared" si="0"/>
        <v>2.6</v>
      </c>
      <c r="M13" s="67" t="str">
        <f t="shared" si="0"/>
        <v>2.6</v>
      </c>
      <c r="N13" s="67" t="str">
        <f t="shared" si="0"/>
        <v>2.6</v>
      </c>
      <c r="O13" s="67">
        <f t="shared" si="0"/>
        <v>2.6</v>
      </c>
      <c r="P13" s="139">
        <f>+P9</f>
        <v>2.6</v>
      </c>
      <c r="Q13" s="214">
        <f>+Q9</f>
        <v>1</v>
      </c>
      <c r="R13" s="214">
        <f>+R9</f>
        <v>1</v>
      </c>
      <c r="S13" s="214">
        <v>1</v>
      </c>
      <c r="T13" s="214">
        <v>1</v>
      </c>
      <c r="U13" s="176">
        <v>1</v>
      </c>
      <c r="V13" s="67">
        <f>+V9</f>
        <v>0</v>
      </c>
      <c r="W13" s="214">
        <v>0</v>
      </c>
      <c r="X13" s="214">
        <v>0</v>
      </c>
      <c r="Y13" s="214">
        <v>0</v>
      </c>
      <c r="Z13" s="214">
        <v>0</v>
      </c>
      <c r="AA13" s="214"/>
      <c r="AB13" s="214"/>
      <c r="AC13" s="214"/>
      <c r="AD13" s="214"/>
      <c r="AE13" s="176"/>
      <c r="AF13" s="135"/>
      <c r="AG13" s="139"/>
      <c r="AH13" s="139"/>
      <c r="AI13" s="139"/>
      <c r="AJ13" s="140"/>
      <c r="AK13" s="144"/>
      <c r="AL13" s="578"/>
      <c r="AM13" s="575"/>
      <c r="AN13" s="575"/>
      <c r="AO13" s="575"/>
      <c r="AP13" s="573"/>
    </row>
    <row r="14" spans="1:42" s="5" customFormat="1" ht="61.5" customHeight="1" thickBot="1" x14ac:dyDescent="0.3">
      <c r="A14" s="665"/>
      <c r="B14" s="592"/>
      <c r="C14" s="595"/>
      <c r="D14" s="598"/>
      <c r="E14" s="598"/>
      <c r="F14" s="598"/>
      <c r="G14" s="148" t="s">
        <v>14</v>
      </c>
      <c r="H14" s="178">
        <f>+H10+H12</f>
        <v>69285000</v>
      </c>
      <c r="I14" s="178"/>
      <c r="J14" s="178">
        <f>+J10+J12</f>
        <v>19285000</v>
      </c>
      <c r="K14" s="178">
        <f t="shared" si="0"/>
        <v>19285000</v>
      </c>
      <c r="L14" s="178">
        <f t="shared" si="0"/>
        <v>141000000</v>
      </c>
      <c r="M14" s="178">
        <f t="shared" si="0"/>
        <v>141000000</v>
      </c>
      <c r="N14" s="178">
        <f t="shared" si="0"/>
        <v>141000000</v>
      </c>
      <c r="O14" s="178">
        <f t="shared" si="0"/>
        <v>141000000</v>
      </c>
      <c r="P14" s="150">
        <v>0</v>
      </c>
      <c r="Q14" s="178">
        <f>+Q10</f>
        <v>50000000</v>
      </c>
      <c r="R14" s="178">
        <f>+R10</f>
        <v>50000000</v>
      </c>
      <c r="S14" s="178">
        <v>50000000</v>
      </c>
      <c r="T14" s="178">
        <v>50000000</v>
      </c>
      <c r="U14" s="215">
        <v>50000000</v>
      </c>
      <c r="V14" s="68">
        <f>+V10+V12</f>
        <v>50000000</v>
      </c>
      <c r="W14" s="178">
        <v>50000000</v>
      </c>
      <c r="X14" s="178">
        <v>50000000</v>
      </c>
      <c r="Y14" s="178">
        <v>50000000</v>
      </c>
      <c r="Z14" s="178">
        <v>50000000</v>
      </c>
      <c r="AA14" s="178"/>
      <c r="AB14" s="178"/>
      <c r="AC14" s="178"/>
      <c r="AD14" s="178"/>
      <c r="AE14" s="215"/>
      <c r="AF14" s="149"/>
      <c r="AG14" s="150"/>
      <c r="AH14" s="150"/>
      <c r="AI14" s="150"/>
      <c r="AJ14" s="151"/>
      <c r="AK14" s="152"/>
      <c r="AL14" s="606"/>
      <c r="AM14" s="575"/>
      <c r="AN14" s="575"/>
      <c r="AO14" s="575"/>
      <c r="AP14" s="573"/>
    </row>
    <row r="15" spans="1:42" s="5" customFormat="1" ht="45" customHeight="1" thickBot="1" x14ac:dyDescent="0.3">
      <c r="A15" s="665"/>
      <c r="B15" s="599">
        <v>2</v>
      </c>
      <c r="C15" s="626" t="s">
        <v>152</v>
      </c>
      <c r="D15" s="596" t="s">
        <v>113</v>
      </c>
      <c r="E15" s="596">
        <v>299</v>
      </c>
      <c r="F15" s="596">
        <v>179</v>
      </c>
      <c r="G15" s="134" t="s">
        <v>9</v>
      </c>
      <c r="H15" s="155">
        <v>28</v>
      </c>
      <c r="I15" s="155"/>
      <c r="J15" s="65">
        <v>28</v>
      </c>
      <c r="K15" s="65">
        <v>6.2</v>
      </c>
      <c r="L15" s="155">
        <v>28</v>
      </c>
      <c r="M15" s="155">
        <v>28</v>
      </c>
      <c r="N15" s="155">
        <v>28</v>
      </c>
      <c r="O15" s="155">
        <v>28</v>
      </c>
      <c r="P15" s="155">
        <v>28</v>
      </c>
      <c r="Q15" s="155">
        <v>28</v>
      </c>
      <c r="R15" s="155">
        <v>28</v>
      </c>
      <c r="S15" s="155">
        <v>28</v>
      </c>
      <c r="T15" s="155">
        <v>28</v>
      </c>
      <c r="U15" s="155">
        <v>28</v>
      </c>
      <c r="V15" s="65">
        <v>28</v>
      </c>
      <c r="W15" s="155">
        <v>28</v>
      </c>
      <c r="X15" s="155">
        <v>28</v>
      </c>
      <c r="Y15" s="155">
        <v>28</v>
      </c>
      <c r="Z15" s="155">
        <v>28</v>
      </c>
      <c r="AA15" s="155"/>
      <c r="AB15" s="153">
        <v>28</v>
      </c>
      <c r="AC15" s="153">
        <v>28</v>
      </c>
      <c r="AD15" s="153"/>
      <c r="AE15" s="153">
        <v>28</v>
      </c>
      <c r="AF15" s="154"/>
      <c r="AG15" s="153">
        <v>28</v>
      </c>
      <c r="AH15" s="155"/>
      <c r="AI15" s="155"/>
      <c r="AJ15" s="136"/>
      <c r="AK15" s="137"/>
      <c r="AL15" s="577" t="s">
        <v>422</v>
      </c>
      <c r="AM15" s="608" t="s">
        <v>428</v>
      </c>
      <c r="AN15" s="608" t="s">
        <v>429</v>
      </c>
      <c r="AO15" s="577" t="s">
        <v>430</v>
      </c>
      <c r="AP15" s="580" t="s">
        <v>431</v>
      </c>
    </row>
    <row r="16" spans="1:42" s="5" customFormat="1" ht="36" customHeight="1" x14ac:dyDescent="0.25">
      <c r="A16" s="665"/>
      <c r="B16" s="600"/>
      <c r="C16" s="622"/>
      <c r="D16" s="597"/>
      <c r="E16" s="597"/>
      <c r="F16" s="597"/>
      <c r="G16" s="138" t="s">
        <v>10</v>
      </c>
      <c r="H16" s="146">
        <f>K16+P16+U16+V16+AA16</f>
        <v>185434000</v>
      </c>
      <c r="I16" s="146"/>
      <c r="J16" s="146">
        <v>42009200</v>
      </c>
      <c r="K16" s="146">
        <v>18550000</v>
      </c>
      <c r="L16" s="146">
        <v>19400000</v>
      </c>
      <c r="M16" s="146">
        <v>19400000</v>
      </c>
      <c r="N16" s="146">
        <v>19400000</v>
      </c>
      <c r="O16" s="146">
        <v>19400000</v>
      </c>
      <c r="P16" s="156">
        <v>19400000</v>
      </c>
      <c r="Q16" s="146">
        <v>46560000</v>
      </c>
      <c r="R16" s="146">
        <v>46560000</v>
      </c>
      <c r="S16" s="146">
        <v>89240000</v>
      </c>
      <c r="T16" s="146">
        <v>58045000</v>
      </c>
      <c r="U16" s="146">
        <v>58045000</v>
      </c>
      <c r="V16" s="66">
        <v>89439000</v>
      </c>
      <c r="W16" s="146">
        <v>89439000</v>
      </c>
      <c r="X16" s="146">
        <v>89439000</v>
      </c>
      <c r="Y16" s="146">
        <v>89439000</v>
      </c>
      <c r="Z16" s="146">
        <v>89306837</v>
      </c>
      <c r="AA16" s="146"/>
      <c r="AB16" s="216">
        <v>131881000</v>
      </c>
      <c r="AC16" s="217">
        <v>0</v>
      </c>
      <c r="AD16" s="217"/>
      <c r="AE16" s="217">
        <v>24146084</v>
      </c>
      <c r="AF16" s="145"/>
      <c r="AG16" s="217">
        <v>24146084</v>
      </c>
      <c r="AH16" s="156"/>
      <c r="AI16" s="156"/>
      <c r="AJ16" s="136"/>
      <c r="AK16" s="144"/>
      <c r="AL16" s="578"/>
      <c r="AM16" s="609"/>
      <c r="AN16" s="609"/>
      <c r="AO16" s="578"/>
      <c r="AP16" s="581"/>
    </row>
    <row r="17" spans="1:42" s="5" customFormat="1" ht="40.5" customHeight="1" x14ac:dyDescent="0.25">
      <c r="A17" s="665"/>
      <c r="B17" s="600"/>
      <c r="C17" s="622"/>
      <c r="D17" s="597"/>
      <c r="E17" s="597"/>
      <c r="F17" s="597"/>
      <c r="G17" s="138" t="s">
        <v>11</v>
      </c>
      <c r="H17" s="218"/>
      <c r="I17" s="171"/>
      <c r="J17" s="171"/>
      <c r="K17" s="171"/>
      <c r="L17" s="171"/>
      <c r="M17" s="171"/>
      <c r="N17" s="171"/>
      <c r="O17" s="171"/>
      <c r="P17" s="129"/>
      <c r="Q17" s="171"/>
      <c r="R17" s="171"/>
      <c r="S17" s="171"/>
      <c r="T17" s="171"/>
      <c r="U17" s="171"/>
      <c r="V17" s="69"/>
      <c r="W17" s="129"/>
      <c r="X17" s="129"/>
      <c r="Y17" s="171"/>
      <c r="Z17" s="171"/>
      <c r="AA17" s="171"/>
      <c r="AB17" s="219"/>
      <c r="AC17" s="219"/>
      <c r="AD17" s="219"/>
      <c r="AE17" s="219"/>
      <c r="AF17" s="141"/>
      <c r="AG17" s="219"/>
      <c r="AH17" s="142"/>
      <c r="AI17" s="129"/>
      <c r="AJ17" s="140"/>
      <c r="AK17" s="144"/>
      <c r="AL17" s="578"/>
      <c r="AM17" s="609"/>
      <c r="AN17" s="609"/>
      <c r="AO17" s="578"/>
      <c r="AP17" s="581"/>
    </row>
    <row r="18" spans="1:42" s="5" customFormat="1" ht="33" customHeight="1" x14ac:dyDescent="0.25">
      <c r="A18" s="665"/>
      <c r="B18" s="600"/>
      <c r="C18" s="622"/>
      <c r="D18" s="597"/>
      <c r="E18" s="597"/>
      <c r="F18" s="597"/>
      <c r="G18" s="138" t="s">
        <v>12</v>
      </c>
      <c r="H18" s="175"/>
      <c r="I18" s="175"/>
      <c r="J18" s="175"/>
      <c r="K18" s="175"/>
      <c r="L18" s="175"/>
      <c r="M18" s="175"/>
      <c r="N18" s="175"/>
      <c r="O18" s="175"/>
      <c r="P18" s="145"/>
      <c r="Q18" s="146">
        <v>5302667</v>
      </c>
      <c r="R18" s="146">
        <v>5302667</v>
      </c>
      <c r="S18" s="146">
        <v>5302667</v>
      </c>
      <c r="T18" s="146">
        <v>5302667</v>
      </c>
      <c r="U18" s="175">
        <v>5302667</v>
      </c>
      <c r="V18" s="69">
        <v>7061668</v>
      </c>
      <c r="W18" s="174">
        <v>7061668</v>
      </c>
      <c r="X18" s="174">
        <v>7061668</v>
      </c>
      <c r="Y18" s="175">
        <v>7061668</v>
      </c>
      <c r="Z18" s="175">
        <v>7061668</v>
      </c>
      <c r="AA18" s="175"/>
      <c r="AB18" s="216">
        <v>4431061</v>
      </c>
      <c r="AC18" s="220">
        <v>4129614</v>
      </c>
      <c r="AD18" s="220"/>
      <c r="AE18" s="220">
        <v>4431061</v>
      </c>
      <c r="AF18" s="157"/>
      <c r="AG18" s="220">
        <v>4431061</v>
      </c>
      <c r="AH18" s="146"/>
      <c r="AI18" s="146"/>
      <c r="AJ18" s="140"/>
      <c r="AK18" s="144"/>
      <c r="AL18" s="578"/>
      <c r="AM18" s="609"/>
      <c r="AN18" s="609"/>
      <c r="AO18" s="578"/>
      <c r="AP18" s="581"/>
    </row>
    <row r="19" spans="1:42" s="5" customFormat="1" ht="36" customHeight="1" x14ac:dyDescent="0.25">
      <c r="A19" s="665"/>
      <c r="B19" s="600"/>
      <c r="C19" s="622"/>
      <c r="D19" s="597"/>
      <c r="E19" s="597"/>
      <c r="F19" s="597"/>
      <c r="G19" s="138" t="s">
        <v>13</v>
      </c>
      <c r="H19" s="176">
        <f>+H15</f>
        <v>28</v>
      </c>
      <c r="I19" s="176"/>
      <c r="J19" s="221">
        <v>28</v>
      </c>
      <c r="K19" s="176">
        <f>+K15</f>
        <v>6.2</v>
      </c>
      <c r="L19" s="176">
        <f>+L15</f>
        <v>28</v>
      </c>
      <c r="M19" s="176">
        <f t="shared" ref="M19:Q20" si="1">+M15</f>
        <v>28</v>
      </c>
      <c r="N19" s="176">
        <f t="shared" si="1"/>
        <v>28</v>
      </c>
      <c r="O19" s="176">
        <f t="shared" si="1"/>
        <v>28</v>
      </c>
      <c r="P19" s="176">
        <f t="shared" si="1"/>
        <v>28</v>
      </c>
      <c r="Q19" s="176">
        <f t="shared" si="1"/>
        <v>28</v>
      </c>
      <c r="R19" s="176">
        <f>+R15</f>
        <v>28</v>
      </c>
      <c r="S19" s="176">
        <v>28</v>
      </c>
      <c r="T19" s="176">
        <v>28</v>
      </c>
      <c r="U19" s="176">
        <v>28</v>
      </c>
      <c r="V19" s="70">
        <f>+V15</f>
        <v>28</v>
      </c>
      <c r="W19" s="176">
        <v>28</v>
      </c>
      <c r="X19" s="176">
        <v>28</v>
      </c>
      <c r="Y19" s="176">
        <v>28</v>
      </c>
      <c r="Z19" s="176">
        <v>28</v>
      </c>
      <c r="AA19" s="176"/>
      <c r="AB19" s="158">
        <v>28</v>
      </c>
      <c r="AC19" s="133">
        <f>+AC15+AC17</f>
        <v>28</v>
      </c>
      <c r="AD19" s="133"/>
      <c r="AE19" s="133">
        <f>+AE15+AE17</f>
        <v>28</v>
      </c>
      <c r="AF19" s="135"/>
      <c r="AG19" s="133">
        <f>+AG15+AG17</f>
        <v>28</v>
      </c>
      <c r="AH19" s="139"/>
      <c r="AI19" s="139"/>
      <c r="AJ19" s="140"/>
      <c r="AK19" s="144"/>
      <c r="AL19" s="578"/>
      <c r="AM19" s="609"/>
      <c r="AN19" s="609"/>
      <c r="AO19" s="578"/>
      <c r="AP19" s="581"/>
    </row>
    <row r="20" spans="1:42" s="5" customFormat="1" ht="49.5" customHeight="1" thickBot="1" x14ac:dyDescent="0.3">
      <c r="A20" s="665"/>
      <c r="B20" s="625"/>
      <c r="C20" s="623"/>
      <c r="D20" s="598"/>
      <c r="E20" s="598"/>
      <c r="F20" s="598"/>
      <c r="G20" s="148" t="s">
        <v>14</v>
      </c>
      <c r="H20" s="178">
        <f>+H16</f>
        <v>185434000</v>
      </c>
      <c r="I20" s="178"/>
      <c r="J20" s="215">
        <v>42000000</v>
      </c>
      <c r="K20" s="178">
        <f>+K16</f>
        <v>18550000</v>
      </c>
      <c r="L20" s="178">
        <f>+L16</f>
        <v>19400000</v>
      </c>
      <c r="M20" s="178">
        <f>+M16</f>
        <v>19400000</v>
      </c>
      <c r="N20" s="178">
        <f>+N16</f>
        <v>19400000</v>
      </c>
      <c r="O20" s="178">
        <f>+O16</f>
        <v>19400000</v>
      </c>
      <c r="P20" s="150">
        <f t="shared" si="1"/>
        <v>19400000</v>
      </c>
      <c r="Q20" s="178">
        <f>+Q16+Q18</f>
        <v>51862667</v>
      </c>
      <c r="R20" s="178">
        <f>+R16+R18</f>
        <v>51862667</v>
      </c>
      <c r="S20" s="178">
        <v>94542667</v>
      </c>
      <c r="T20" s="178">
        <v>63347667</v>
      </c>
      <c r="U20" s="178">
        <v>58045000</v>
      </c>
      <c r="V20" s="68">
        <f>V16+V18</f>
        <v>96500668</v>
      </c>
      <c r="W20" s="178">
        <v>96500668</v>
      </c>
      <c r="X20" s="178">
        <v>96500668</v>
      </c>
      <c r="Y20" s="178">
        <v>96500668</v>
      </c>
      <c r="Z20" s="178">
        <v>96368505</v>
      </c>
      <c r="AA20" s="178"/>
      <c r="AB20" s="222">
        <v>136312061</v>
      </c>
      <c r="AC20" s="222">
        <f>+AC16+AC18</f>
        <v>4129614</v>
      </c>
      <c r="AD20" s="222"/>
      <c r="AE20" s="222">
        <f>+AE16+AE18</f>
        <v>28577145</v>
      </c>
      <c r="AF20" s="159"/>
      <c r="AG20" s="222">
        <f>+AG16+AG18</f>
        <v>28577145</v>
      </c>
      <c r="AH20" s="150"/>
      <c r="AI20" s="150"/>
      <c r="AJ20" s="151"/>
      <c r="AK20" s="152"/>
      <c r="AL20" s="606"/>
      <c r="AM20" s="617"/>
      <c r="AN20" s="617"/>
      <c r="AO20" s="606"/>
      <c r="AP20" s="630"/>
    </row>
    <row r="21" spans="1:42" s="5" customFormat="1" ht="63.75" customHeight="1" thickBot="1" x14ac:dyDescent="0.3">
      <c r="A21" s="665"/>
      <c r="B21" s="631">
        <v>3</v>
      </c>
      <c r="C21" s="593" t="s">
        <v>153</v>
      </c>
      <c r="D21" s="596" t="s">
        <v>114</v>
      </c>
      <c r="E21" s="596">
        <v>299</v>
      </c>
      <c r="F21" s="596">
        <v>179</v>
      </c>
      <c r="G21" s="134" t="s">
        <v>9</v>
      </c>
      <c r="H21" s="168">
        <v>234.3</v>
      </c>
      <c r="I21" s="155"/>
      <c r="J21" s="223">
        <v>17.34</v>
      </c>
      <c r="K21" s="65">
        <v>3.95</v>
      </c>
      <c r="L21" s="168">
        <v>177.4</v>
      </c>
      <c r="M21" s="168">
        <v>177.4</v>
      </c>
      <c r="N21" s="168">
        <v>177.4</v>
      </c>
      <c r="O21" s="65">
        <v>183.45</v>
      </c>
      <c r="P21" s="65">
        <v>177.39999999999998</v>
      </c>
      <c r="Q21" s="155">
        <v>219</v>
      </c>
      <c r="R21" s="155">
        <v>219</v>
      </c>
      <c r="S21" s="155">
        <v>219</v>
      </c>
      <c r="T21" s="155">
        <v>219</v>
      </c>
      <c r="U21" s="155">
        <v>217.21</v>
      </c>
      <c r="V21" s="65">
        <v>234.3</v>
      </c>
      <c r="W21" s="155">
        <v>234.3</v>
      </c>
      <c r="X21" s="155">
        <v>234.3</v>
      </c>
      <c r="Y21" s="65">
        <v>234.3</v>
      </c>
      <c r="Z21" s="155">
        <v>232.46</v>
      </c>
      <c r="AA21" s="65"/>
      <c r="AB21" s="160">
        <v>234.3</v>
      </c>
      <c r="AC21" s="65"/>
      <c r="AD21" s="65"/>
      <c r="AE21" s="155"/>
      <c r="AF21" s="161"/>
      <c r="AG21" s="160">
        <v>236.46</v>
      </c>
      <c r="AH21" s="65"/>
      <c r="AI21" s="65"/>
      <c r="AJ21" s="136"/>
      <c r="AK21" s="137"/>
      <c r="AL21" s="577" t="s">
        <v>469</v>
      </c>
      <c r="AM21" s="608" t="s">
        <v>146</v>
      </c>
      <c r="AN21" s="608" t="s">
        <v>146</v>
      </c>
      <c r="AO21" s="577" t="s">
        <v>354</v>
      </c>
      <c r="AP21" s="580" t="s">
        <v>424</v>
      </c>
    </row>
    <row r="22" spans="1:42" s="5" customFormat="1" ht="66.75" customHeight="1" x14ac:dyDescent="0.25">
      <c r="A22" s="665"/>
      <c r="B22" s="632"/>
      <c r="C22" s="594"/>
      <c r="D22" s="597"/>
      <c r="E22" s="597"/>
      <c r="F22" s="597"/>
      <c r="G22" s="138" t="s">
        <v>10</v>
      </c>
      <c r="H22" s="146">
        <f>K22+P22+U22+V22+AA22</f>
        <v>8883344897</v>
      </c>
      <c r="I22" s="146"/>
      <c r="J22" s="224">
        <v>229850500</v>
      </c>
      <c r="K22" s="146">
        <v>221820000</v>
      </c>
      <c r="L22" s="146">
        <v>2836107730</v>
      </c>
      <c r="M22" s="146">
        <v>2836107730</v>
      </c>
      <c r="N22" s="146">
        <v>2836107730</v>
      </c>
      <c r="O22" s="146">
        <v>2836107730</v>
      </c>
      <c r="P22" s="156">
        <f>2275674627</f>
        <v>2275674627</v>
      </c>
      <c r="Q22" s="146">
        <v>1541055000</v>
      </c>
      <c r="R22" s="146">
        <v>1541055000</v>
      </c>
      <c r="S22" s="146">
        <v>1202308507</v>
      </c>
      <c r="T22" s="146">
        <v>1195533507</v>
      </c>
      <c r="U22" s="146">
        <v>1087330770</v>
      </c>
      <c r="V22" s="66">
        <v>5298519500</v>
      </c>
      <c r="W22" s="146">
        <v>4778520500</v>
      </c>
      <c r="X22" s="146">
        <v>4708217500</v>
      </c>
      <c r="Y22" s="146">
        <v>4336432112</v>
      </c>
      <c r="Z22" s="146">
        <v>3194994477</v>
      </c>
      <c r="AA22" s="146"/>
      <c r="AB22" s="216">
        <v>1782739000</v>
      </c>
      <c r="AC22" s="146"/>
      <c r="AD22" s="146"/>
      <c r="AE22" s="146"/>
      <c r="AF22" s="145"/>
      <c r="AG22" s="217">
        <v>205692599</v>
      </c>
      <c r="AH22" s="156"/>
      <c r="AI22" s="156"/>
      <c r="AJ22" s="136"/>
      <c r="AK22" s="144"/>
      <c r="AL22" s="578"/>
      <c r="AM22" s="609"/>
      <c r="AN22" s="609"/>
      <c r="AO22" s="578"/>
      <c r="AP22" s="581"/>
    </row>
    <row r="23" spans="1:42" s="5" customFormat="1" ht="53.25" customHeight="1" x14ac:dyDescent="0.25">
      <c r="A23" s="665"/>
      <c r="B23" s="632"/>
      <c r="C23" s="594"/>
      <c r="D23" s="597"/>
      <c r="E23" s="597"/>
      <c r="F23" s="597"/>
      <c r="G23" s="138" t="s">
        <v>11</v>
      </c>
      <c r="H23" s="171"/>
      <c r="I23" s="171"/>
      <c r="J23" s="171"/>
      <c r="K23" s="171"/>
      <c r="L23" s="171">
        <v>6.05</v>
      </c>
      <c r="M23" s="171">
        <v>6.05</v>
      </c>
      <c r="N23" s="171">
        <v>6.05</v>
      </c>
      <c r="O23" s="171">
        <v>6.05</v>
      </c>
      <c r="P23" s="139"/>
      <c r="Q23" s="171"/>
      <c r="R23" s="171"/>
      <c r="S23" s="171"/>
      <c r="T23" s="171"/>
      <c r="U23" s="171"/>
      <c r="V23" s="69"/>
      <c r="W23" s="129"/>
      <c r="X23" s="129"/>
      <c r="Y23" s="171"/>
      <c r="Z23" s="171"/>
      <c r="AA23" s="171"/>
      <c r="AB23" s="219"/>
      <c r="AC23" s="171"/>
      <c r="AD23" s="171"/>
      <c r="AE23" s="171"/>
      <c r="AF23" s="135"/>
      <c r="AG23" s="219"/>
      <c r="AH23" s="139"/>
      <c r="AI23" s="139"/>
      <c r="AJ23" s="140"/>
      <c r="AK23" s="144"/>
      <c r="AL23" s="578"/>
      <c r="AM23" s="609"/>
      <c r="AN23" s="609"/>
      <c r="AO23" s="578"/>
      <c r="AP23" s="581"/>
    </row>
    <row r="24" spans="1:42" s="5" customFormat="1" ht="62.25" customHeight="1" x14ac:dyDescent="0.25">
      <c r="A24" s="665"/>
      <c r="B24" s="632"/>
      <c r="C24" s="594"/>
      <c r="D24" s="597"/>
      <c r="E24" s="597"/>
      <c r="F24" s="597"/>
      <c r="G24" s="138" t="s">
        <v>12</v>
      </c>
      <c r="H24" s="171"/>
      <c r="I24" s="171"/>
      <c r="J24" s="171"/>
      <c r="K24" s="171"/>
      <c r="L24" s="225">
        <v>155113333</v>
      </c>
      <c r="M24" s="225">
        <v>155113333</v>
      </c>
      <c r="N24" s="225">
        <v>155113333</v>
      </c>
      <c r="O24" s="225">
        <v>155113333</v>
      </c>
      <c r="P24" s="156">
        <v>140113333</v>
      </c>
      <c r="Q24" s="146">
        <v>1956967294</v>
      </c>
      <c r="R24" s="146">
        <v>1956967294</v>
      </c>
      <c r="S24" s="146">
        <v>1956967294</v>
      </c>
      <c r="T24" s="146">
        <v>1956967294</v>
      </c>
      <c r="U24" s="171">
        <v>1375507087</v>
      </c>
      <c r="V24" s="66">
        <v>596599005</v>
      </c>
      <c r="W24" s="129">
        <v>596599005</v>
      </c>
      <c r="X24" s="129">
        <v>596599005</v>
      </c>
      <c r="Y24" s="181">
        <v>596599005</v>
      </c>
      <c r="Z24" s="171">
        <v>544210617</v>
      </c>
      <c r="AA24" s="171"/>
      <c r="AB24" s="217">
        <v>1165769915.6700001</v>
      </c>
      <c r="AC24" s="171"/>
      <c r="AD24" s="171"/>
      <c r="AE24" s="171"/>
      <c r="AF24" s="162"/>
      <c r="AG24" s="217">
        <v>719718550</v>
      </c>
      <c r="AH24" s="156"/>
      <c r="AI24" s="156"/>
      <c r="AJ24" s="140"/>
      <c r="AK24" s="144"/>
      <c r="AL24" s="578"/>
      <c r="AM24" s="609"/>
      <c r="AN24" s="609"/>
      <c r="AO24" s="578"/>
      <c r="AP24" s="581"/>
    </row>
    <row r="25" spans="1:42" s="5" customFormat="1" ht="54.75" customHeight="1" x14ac:dyDescent="0.25">
      <c r="A25" s="665"/>
      <c r="B25" s="632"/>
      <c r="C25" s="594"/>
      <c r="D25" s="597"/>
      <c r="E25" s="597"/>
      <c r="F25" s="597"/>
      <c r="G25" s="138" t="s">
        <v>13</v>
      </c>
      <c r="H25" s="176">
        <f>+H21</f>
        <v>234.3</v>
      </c>
      <c r="I25" s="176"/>
      <c r="J25" s="176"/>
      <c r="K25" s="176"/>
      <c r="L25" s="70">
        <f t="shared" ref="L25:O26" si="2">+L21+L23</f>
        <v>183.45000000000002</v>
      </c>
      <c r="M25" s="70">
        <f t="shared" si="2"/>
        <v>183.45000000000002</v>
      </c>
      <c r="N25" s="70">
        <f t="shared" si="2"/>
        <v>183.45000000000002</v>
      </c>
      <c r="O25" s="70">
        <f t="shared" si="2"/>
        <v>189.5</v>
      </c>
      <c r="P25" s="139">
        <f>+P23+P21</f>
        <v>177.39999999999998</v>
      </c>
      <c r="Q25" s="70">
        <f t="shared" ref="Q25:R26" si="3">+Q21+Q23</f>
        <v>219</v>
      </c>
      <c r="R25" s="70">
        <f t="shared" si="3"/>
        <v>219</v>
      </c>
      <c r="S25" s="70">
        <v>219</v>
      </c>
      <c r="T25" s="70">
        <v>219</v>
      </c>
      <c r="U25" s="176">
        <v>217.21</v>
      </c>
      <c r="V25" s="70">
        <f>+V21+V23</f>
        <v>234.3</v>
      </c>
      <c r="W25" s="70">
        <v>234.3</v>
      </c>
      <c r="X25" s="70">
        <v>234.3</v>
      </c>
      <c r="Y25" s="70">
        <v>234.3</v>
      </c>
      <c r="Z25" s="176">
        <v>232.46</v>
      </c>
      <c r="AA25" s="226"/>
      <c r="AB25" s="163">
        <v>234.3</v>
      </c>
      <c r="AC25" s="176"/>
      <c r="AD25" s="176"/>
      <c r="AE25" s="176"/>
      <c r="AF25" s="70"/>
      <c r="AG25" s="133">
        <v>236.46</v>
      </c>
      <c r="AH25" s="139"/>
      <c r="AI25" s="139"/>
      <c r="AJ25" s="140"/>
      <c r="AK25" s="144"/>
      <c r="AL25" s="578"/>
      <c r="AM25" s="609"/>
      <c r="AN25" s="609"/>
      <c r="AO25" s="578"/>
      <c r="AP25" s="581"/>
    </row>
    <row r="26" spans="1:42" s="5" customFormat="1" ht="63.75" customHeight="1" thickBot="1" x14ac:dyDescent="0.3">
      <c r="A26" s="665"/>
      <c r="B26" s="633"/>
      <c r="C26" s="595"/>
      <c r="D26" s="598"/>
      <c r="E26" s="598"/>
      <c r="F26" s="598"/>
      <c r="G26" s="148" t="s">
        <v>14</v>
      </c>
      <c r="H26" s="178">
        <f>+H22</f>
        <v>8883344897</v>
      </c>
      <c r="I26" s="178"/>
      <c r="J26" s="178"/>
      <c r="K26" s="178">
        <f>+K22</f>
        <v>221820000</v>
      </c>
      <c r="L26" s="178">
        <f t="shared" si="2"/>
        <v>2991221063</v>
      </c>
      <c r="M26" s="178">
        <f t="shared" si="2"/>
        <v>2991221063</v>
      </c>
      <c r="N26" s="178">
        <f t="shared" si="2"/>
        <v>2991221063</v>
      </c>
      <c r="O26" s="178">
        <f t="shared" si="2"/>
        <v>2991221063</v>
      </c>
      <c r="P26" s="150">
        <f>+P22+P24</f>
        <v>2415787960</v>
      </c>
      <c r="Q26" s="178">
        <f t="shared" si="3"/>
        <v>3498022294</v>
      </c>
      <c r="R26" s="178">
        <f t="shared" si="3"/>
        <v>3498022294</v>
      </c>
      <c r="S26" s="178">
        <v>3159275801</v>
      </c>
      <c r="T26" s="178">
        <v>3152500801</v>
      </c>
      <c r="U26" s="178">
        <v>2462837857</v>
      </c>
      <c r="V26" s="68">
        <f>+V22+V24</f>
        <v>5895118505</v>
      </c>
      <c r="W26" s="178">
        <v>5375119505</v>
      </c>
      <c r="X26" s="178">
        <v>5304816505</v>
      </c>
      <c r="Y26" s="178">
        <v>4933031117</v>
      </c>
      <c r="Z26" s="178">
        <v>3739205094</v>
      </c>
      <c r="AA26" s="227"/>
      <c r="AB26" s="228">
        <v>3014845382</v>
      </c>
      <c r="AC26" s="178"/>
      <c r="AD26" s="178"/>
      <c r="AE26" s="178"/>
      <c r="AF26" s="149"/>
      <c r="AG26" s="228">
        <v>925411149</v>
      </c>
      <c r="AH26" s="150"/>
      <c r="AI26" s="150"/>
      <c r="AJ26" s="151"/>
      <c r="AK26" s="152"/>
      <c r="AL26" s="579"/>
      <c r="AM26" s="610"/>
      <c r="AN26" s="610"/>
      <c r="AO26" s="579"/>
      <c r="AP26" s="582"/>
    </row>
    <row r="27" spans="1:42" s="5" customFormat="1" ht="45" customHeight="1" thickBot="1" x14ac:dyDescent="0.3">
      <c r="A27" s="665"/>
      <c r="B27" s="599">
        <v>4</v>
      </c>
      <c r="C27" s="626" t="s">
        <v>396</v>
      </c>
      <c r="D27" s="596" t="s">
        <v>114</v>
      </c>
      <c r="E27" s="596">
        <v>302</v>
      </c>
      <c r="F27" s="596">
        <v>179</v>
      </c>
      <c r="G27" s="134" t="s">
        <v>9</v>
      </c>
      <c r="H27" s="155">
        <v>40</v>
      </c>
      <c r="I27" s="155"/>
      <c r="J27" s="107">
        <v>28</v>
      </c>
      <c r="K27" s="65">
        <v>19.54</v>
      </c>
      <c r="L27" s="155">
        <v>25</v>
      </c>
      <c r="M27" s="155">
        <v>25</v>
      </c>
      <c r="N27" s="155">
        <v>25</v>
      </c>
      <c r="O27" s="155">
        <v>25</v>
      </c>
      <c r="P27" s="65">
        <f>2+0.31+4.44+12.13+6.12</f>
        <v>25.000000000000004</v>
      </c>
      <c r="Q27" s="155">
        <v>30</v>
      </c>
      <c r="R27" s="155">
        <v>30</v>
      </c>
      <c r="S27" s="155">
        <v>30</v>
      </c>
      <c r="T27" s="155">
        <v>30</v>
      </c>
      <c r="U27" s="155">
        <v>69.929999999999993</v>
      </c>
      <c r="V27" s="71">
        <v>95.93</v>
      </c>
      <c r="W27" s="65">
        <v>95.93</v>
      </c>
      <c r="X27" s="155">
        <v>95.93</v>
      </c>
      <c r="Y27" s="65">
        <v>327.06</v>
      </c>
      <c r="Z27" s="155">
        <v>327.06</v>
      </c>
      <c r="AA27" s="155"/>
      <c r="AB27" s="160">
        <v>331.13</v>
      </c>
      <c r="AC27" s="155"/>
      <c r="AD27" s="155"/>
      <c r="AE27" s="155"/>
      <c r="AF27" s="161"/>
      <c r="AG27" s="160">
        <v>331.06</v>
      </c>
      <c r="AH27" s="65"/>
      <c r="AI27" s="65"/>
      <c r="AJ27" s="136"/>
      <c r="AK27" s="137"/>
      <c r="AL27" s="614" t="s">
        <v>470</v>
      </c>
      <c r="AM27" s="608" t="s">
        <v>425</v>
      </c>
      <c r="AN27" s="608" t="s">
        <v>426</v>
      </c>
      <c r="AO27" s="577" t="s">
        <v>356</v>
      </c>
      <c r="AP27" s="580" t="s">
        <v>427</v>
      </c>
    </row>
    <row r="28" spans="1:42" s="5" customFormat="1" ht="36" customHeight="1" x14ac:dyDescent="0.25">
      <c r="A28" s="665"/>
      <c r="B28" s="600"/>
      <c r="C28" s="622"/>
      <c r="D28" s="597"/>
      <c r="E28" s="597"/>
      <c r="F28" s="597"/>
      <c r="G28" s="138" t="s">
        <v>10</v>
      </c>
      <c r="H28" s="146">
        <f>K28+P28+U28+V28+AA28</f>
        <v>1085489256</v>
      </c>
      <c r="I28" s="146"/>
      <c r="J28" s="213">
        <v>33000549</v>
      </c>
      <c r="K28" s="146">
        <v>26600549</v>
      </c>
      <c r="L28" s="146">
        <v>592421600</v>
      </c>
      <c r="M28" s="146">
        <v>592421600</v>
      </c>
      <c r="N28" s="146">
        <v>592421600</v>
      </c>
      <c r="O28" s="146">
        <v>592421600</v>
      </c>
      <c r="P28" s="156">
        <f>450140207</f>
        <v>450140207</v>
      </c>
      <c r="Q28" s="146">
        <v>513220000</v>
      </c>
      <c r="R28" s="146">
        <v>513220000</v>
      </c>
      <c r="S28" s="146">
        <v>487230000</v>
      </c>
      <c r="T28" s="146">
        <v>516539000</v>
      </c>
      <c r="U28" s="146">
        <v>407810000</v>
      </c>
      <c r="V28" s="70">
        <v>200938500</v>
      </c>
      <c r="W28" s="146">
        <v>280938000</v>
      </c>
      <c r="X28" s="146">
        <v>470479440</v>
      </c>
      <c r="Y28" s="146">
        <v>505998325</v>
      </c>
      <c r="Z28" s="146">
        <v>438353906</v>
      </c>
      <c r="AA28" s="146"/>
      <c r="AB28" s="216">
        <v>303644000</v>
      </c>
      <c r="AC28" s="146"/>
      <c r="AD28" s="146"/>
      <c r="AE28" s="146"/>
      <c r="AF28" s="70"/>
      <c r="AG28" s="217">
        <v>18693058</v>
      </c>
      <c r="AH28" s="156"/>
      <c r="AI28" s="156"/>
      <c r="AJ28" s="136"/>
      <c r="AK28" s="144"/>
      <c r="AL28" s="615"/>
      <c r="AM28" s="609"/>
      <c r="AN28" s="609"/>
      <c r="AO28" s="578"/>
      <c r="AP28" s="581"/>
    </row>
    <row r="29" spans="1:42" s="5" customFormat="1" ht="40.5" customHeight="1" x14ac:dyDescent="0.25">
      <c r="A29" s="665"/>
      <c r="B29" s="600"/>
      <c r="C29" s="622"/>
      <c r="D29" s="597"/>
      <c r="E29" s="597"/>
      <c r="F29" s="597"/>
      <c r="G29" s="138" t="s">
        <v>11</v>
      </c>
      <c r="H29" s="171"/>
      <c r="I29" s="171"/>
      <c r="J29" s="171"/>
      <c r="K29" s="171"/>
      <c r="L29" s="171"/>
      <c r="M29" s="171"/>
      <c r="N29" s="171"/>
      <c r="O29" s="171"/>
      <c r="P29" s="129"/>
      <c r="Q29" s="171"/>
      <c r="R29" s="171"/>
      <c r="S29" s="171"/>
      <c r="T29" s="171"/>
      <c r="U29" s="171"/>
      <c r="V29" s="70"/>
      <c r="W29" s="129"/>
      <c r="X29" s="129"/>
      <c r="Y29" s="171"/>
      <c r="Z29" s="171"/>
      <c r="AA29" s="171"/>
      <c r="AB29" s="219"/>
      <c r="AC29" s="171"/>
      <c r="AD29" s="171"/>
      <c r="AE29" s="171"/>
      <c r="AF29" s="141"/>
      <c r="AG29" s="219"/>
      <c r="AH29" s="129"/>
      <c r="AI29" s="129"/>
      <c r="AJ29" s="140"/>
      <c r="AK29" s="144"/>
      <c r="AL29" s="615"/>
      <c r="AM29" s="609"/>
      <c r="AN29" s="609"/>
      <c r="AO29" s="578"/>
      <c r="AP29" s="581"/>
    </row>
    <row r="30" spans="1:42" s="5" customFormat="1" ht="33" customHeight="1" x14ac:dyDescent="0.25">
      <c r="A30" s="665"/>
      <c r="B30" s="600"/>
      <c r="C30" s="622"/>
      <c r="D30" s="597"/>
      <c r="E30" s="597"/>
      <c r="F30" s="597"/>
      <c r="G30" s="138" t="s">
        <v>12</v>
      </c>
      <c r="H30" s="175"/>
      <c r="I30" s="175"/>
      <c r="J30" s="175"/>
      <c r="K30" s="175"/>
      <c r="L30" s="175">
        <v>3040000</v>
      </c>
      <c r="M30" s="175">
        <v>3040000</v>
      </c>
      <c r="N30" s="175">
        <v>3040000</v>
      </c>
      <c r="O30" s="175">
        <v>3040000</v>
      </c>
      <c r="P30" s="156">
        <f>+O30</f>
        <v>3040000</v>
      </c>
      <c r="Q30" s="156">
        <v>105696611</v>
      </c>
      <c r="R30" s="156">
        <v>105696611</v>
      </c>
      <c r="S30" s="156">
        <v>105696611</v>
      </c>
      <c r="T30" s="156">
        <v>105696611</v>
      </c>
      <c r="U30" s="175">
        <v>105696611</v>
      </c>
      <c r="V30" s="72">
        <v>102153108.33</v>
      </c>
      <c r="W30" s="174">
        <v>102153108.33</v>
      </c>
      <c r="X30" s="174">
        <v>102153108.33</v>
      </c>
      <c r="Y30" s="175">
        <v>102153108.33</v>
      </c>
      <c r="Z30" s="175">
        <v>102153108.33333333</v>
      </c>
      <c r="AA30" s="175"/>
      <c r="AB30" s="217">
        <v>216187025</v>
      </c>
      <c r="AC30" s="175"/>
      <c r="AD30" s="175"/>
      <c r="AE30" s="175"/>
      <c r="AF30" s="162"/>
      <c r="AG30" s="217">
        <v>38400117</v>
      </c>
      <c r="AH30" s="156"/>
      <c r="AI30" s="156"/>
      <c r="AJ30" s="140"/>
      <c r="AK30" s="144"/>
      <c r="AL30" s="615"/>
      <c r="AM30" s="609"/>
      <c r="AN30" s="609"/>
      <c r="AO30" s="578"/>
      <c r="AP30" s="581"/>
    </row>
    <row r="31" spans="1:42" s="5" customFormat="1" ht="36" customHeight="1" x14ac:dyDescent="0.25">
      <c r="A31" s="665"/>
      <c r="B31" s="600"/>
      <c r="C31" s="622"/>
      <c r="D31" s="597"/>
      <c r="E31" s="597"/>
      <c r="F31" s="597"/>
      <c r="G31" s="138" t="s">
        <v>13</v>
      </c>
      <c r="H31" s="176">
        <f>+H27</f>
        <v>40</v>
      </c>
      <c r="I31" s="176"/>
      <c r="J31" s="176">
        <f t="shared" ref="J31:O31" si="4">+J27</f>
        <v>28</v>
      </c>
      <c r="K31" s="70">
        <f t="shared" si="4"/>
        <v>19.54</v>
      </c>
      <c r="L31" s="176">
        <f t="shared" si="4"/>
        <v>25</v>
      </c>
      <c r="M31" s="176">
        <f t="shared" si="4"/>
        <v>25</v>
      </c>
      <c r="N31" s="176">
        <f t="shared" si="4"/>
        <v>25</v>
      </c>
      <c r="O31" s="176">
        <f t="shared" si="4"/>
        <v>25</v>
      </c>
      <c r="P31" s="139">
        <f>+P27+P29</f>
        <v>25.000000000000004</v>
      </c>
      <c r="Q31" s="176">
        <f>+Q27</f>
        <v>30</v>
      </c>
      <c r="R31" s="176">
        <f>+R27</f>
        <v>30</v>
      </c>
      <c r="S31" s="176">
        <v>30</v>
      </c>
      <c r="T31" s="176">
        <v>30</v>
      </c>
      <c r="U31" s="176">
        <v>69.929999999999993</v>
      </c>
      <c r="V31" s="70">
        <f t="shared" ref="V31" si="5">+V27</f>
        <v>95.93</v>
      </c>
      <c r="W31" s="176">
        <v>95.93</v>
      </c>
      <c r="X31" s="176">
        <v>95.93</v>
      </c>
      <c r="Y31" s="70">
        <v>327.06</v>
      </c>
      <c r="Z31" s="176">
        <v>327.06</v>
      </c>
      <c r="AA31" s="176"/>
      <c r="AB31" s="163">
        <v>331.13</v>
      </c>
      <c r="AC31" s="176"/>
      <c r="AD31" s="176"/>
      <c r="AE31" s="176"/>
      <c r="AF31" s="70"/>
      <c r="AG31" s="133">
        <v>331.06</v>
      </c>
      <c r="AH31" s="139"/>
      <c r="AI31" s="139"/>
      <c r="AJ31" s="140"/>
      <c r="AK31" s="144"/>
      <c r="AL31" s="615"/>
      <c r="AM31" s="609"/>
      <c r="AN31" s="609"/>
      <c r="AO31" s="578"/>
      <c r="AP31" s="581"/>
    </row>
    <row r="32" spans="1:42" s="5" customFormat="1" ht="49.5" customHeight="1" thickBot="1" x14ac:dyDescent="0.3">
      <c r="A32" s="665"/>
      <c r="B32" s="601"/>
      <c r="C32" s="623"/>
      <c r="D32" s="598"/>
      <c r="E32" s="598"/>
      <c r="F32" s="598"/>
      <c r="G32" s="148" t="s">
        <v>14</v>
      </c>
      <c r="H32" s="178">
        <f>+H28</f>
        <v>1085489256</v>
      </c>
      <c r="I32" s="178"/>
      <c r="J32" s="178">
        <f>+J28</f>
        <v>33000549</v>
      </c>
      <c r="K32" s="178">
        <f>+K28</f>
        <v>26600549</v>
      </c>
      <c r="L32" s="229">
        <f>+L28+L30</f>
        <v>595461600</v>
      </c>
      <c r="M32" s="229">
        <f>+M28+M30</f>
        <v>595461600</v>
      </c>
      <c r="N32" s="229">
        <f>+N28+N30</f>
        <v>595461600</v>
      </c>
      <c r="O32" s="229">
        <f>+O28+O30</f>
        <v>595461600</v>
      </c>
      <c r="P32" s="150">
        <f>+P28+P30</f>
        <v>453180207</v>
      </c>
      <c r="Q32" s="178">
        <f>+Q28+Q30</f>
        <v>618916611</v>
      </c>
      <c r="R32" s="178">
        <f>+R28+R30</f>
        <v>618916611</v>
      </c>
      <c r="S32" s="178">
        <v>592926611</v>
      </c>
      <c r="T32" s="178">
        <v>622235611</v>
      </c>
      <c r="U32" s="178">
        <v>513506611</v>
      </c>
      <c r="V32" s="73">
        <f>+V28</f>
        <v>200938500</v>
      </c>
      <c r="W32" s="178">
        <v>383091108.32999998</v>
      </c>
      <c r="X32" s="178">
        <v>572632548.33000004</v>
      </c>
      <c r="Y32" s="178">
        <v>608151433.33000004</v>
      </c>
      <c r="Z32" s="178">
        <v>540507014.33333337</v>
      </c>
      <c r="AA32" s="178"/>
      <c r="AB32" s="228">
        <v>519831025</v>
      </c>
      <c r="AC32" s="178"/>
      <c r="AD32" s="178"/>
      <c r="AE32" s="178"/>
      <c r="AF32" s="74"/>
      <c r="AG32" s="228">
        <v>57093175</v>
      </c>
      <c r="AH32" s="150"/>
      <c r="AI32" s="150"/>
      <c r="AJ32" s="151"/>
      <c r="AK32" s="152"/>
      <c r="AL32" s="616"/>
      <c r="AM32" s="610"/>
      <c r="AN32" s="610"/>
      <c r="AO32" s="579"/>
      <c r="AP32" s="582"/>
    </row>
    <row r="33" spans="1:42" s="5" customFormat="1" ht="63.75" customHeight="1" thickBot="1" x14ac:dyDescent="0.3">
      <c r="A33" s="665"/>
      <c r="B33" s="628">
        <v>5</v>
      </c>
      <c r="C33" s="626" t="s">
        <v>321</v>
      </c>
      <c r="D33" s="596" t="s">
        <v>114</v>
      </c>
      <c r="E33" s="596">
        <v>311</v>
      </c>
      <c r="F33" s="596">
        <v>182</v>
      </c>
      <c r="G33" s="134" t="s">
        <v>9</v>
      </c>
      <c r="H33" s="155">
        <v>6</v>
      </c>
      <c r="I33" s="155"/>
      <c r="J33" s="230">
        <v>2</v>
      </c>
      <c r="K33" s="155">
        <v>2</v>
      </c>
      <c r="L33" s="155">
        <v>3</v>
      </c>
      <c r="M33" s="155">
        <v>3</v>
      </c>
      <c r="N33" s="155">
        <v>3</v>
      </c>
      <c r="O33" s="155">
        <v>3</v>
      </c>
      <c r="P33" s="155">
        <v>3</v>
      </c>
      <c r="Q33" s="155">
        <v>4</v>
      </c>
      <c r="R33" s="155">
        <v>4</v>
      </c>
      <c r="S33" s="155">
        <v>4</v>
      </c>
      <c r="T33" s="155">
        <v>4</v>
      </c>
      <c r="U33" s="155">
        <v>4</v>
      </c>
      <c r="V33" s="65">
        <v>5</v>
      </c>
      <c r="W33" s="155">
        <v>5</v>
      </c>
      <c r="X33" s="155">
        <v>5</v>
      </c>
      <c r="Y33" s="155">
        <v>5</v>
      </c>
      <c r="Z33" s="155">
        <v>5</v>
      </c>
      <c r="AA33" s="155"/>
      <c r="AB33" s="160">
        <v>6</v>
      </c>
      <c r="AC33" s="155"/>
      <c r="AD33" s="155"/>
      <c r="AE33" s="155"/>
      <c r="AF33" s="161"/>
      <c r="AG33" s="160">
        <v>6</v>
      </c>
      <c r="AH33" s="65"/>
      <c r="AI33" s="65"/>
      <c r="AJ33" s="136"/>
      <c r="AK33" s="137"/>
      <c r="AL33" s="577" t="s">
        <v>432</v>
      </c>
      <c r="AM33" s="608" t="s">
        <v>425</v>
      </c>
      <c r="AN33" s="608" t="s">
        <v>426</v>
      </c>
      <c r="AO33" s="577" t="s">
        <v>433</v>
      </c>
      <c r="AP33" s="580" t="s">
        <v>434</v>
      </c>
    </row>
    <row r="34" spans="1:42" s="5" customFormat="1" ht="66.75" customHeight="1" x14ac:dyDescent="0.25">
      <c r="A34" s="665"/>
      <c r="B34" s="619"/>
      <c r="C34" s="622"/>
      <c r="D34" s="597"/>
      <c r="E34" s="597"/>
      <c r="F34" s="597"/>
      <c r="G34" s="138" t="s">
        <v>10</v>
      </c>
      <c r="H34" s="146">
        <f>K34+P34+U34+V34+AA34</f>
        <v>5401432791</v>
      </c>
      <c r="I34" s="146"/>
      <c r="J34" s="213">
        <v>601240000</v>
      </c>
      <c r="K34" s="146">
        <v>598840000</v>
      </c>
      <c r="L34" s="146">
        <v>1897501796</v>
      </c>
      <c r="M34" s="146">
        <v>1897501796</v>
      </c>
      <c r="N34" s="146">
        <v>1897501796</v>
      </c>
      <c r="O34" s="146">
        <v>1897501796</v>
      </c>
      <c r="P34" s="156">
        <v>1897183657</v>
      </c>
      <c r="Q34" s="146">
        <v>1116162000</v>
      </c>
      <c r="R34" s="146">
        <v>1116162000</v>
      </c>
      <c r="S34" s="146">
        <v>1116162000</v>
      </c>
      <c r="T34" s="146">
        <v>1141702000</v>
      </c>
      <c r="U34" s="146">
        <v>806624134</v>
      </c>
      <c r="V34" s="66">
        <v>2098785000</v>
      </c>
      <c r="W34" s="146">
        <v>2098785000</v>
      </c>
      <c r="X34" s="146">
        <v>2128785000</v>
      </c>
      <c r="Y34" s="146">
        <v>2136710475</v>
      </c>
      <c r="Z34" s="146">
        <v>1898668908</v>
      </c>
      <c r="AA34" s="146"/>
      <c r="AB34" s="216">
        <v>2931598000</v>
      </c>
      <c r="AC34" s="146"/>
      <c r="AD34" s="146"/>
      <c r="AE34" s="146"/>
      <c r="AF34" s="162"/>
      <c r="AG34" s="217">
        <v>897795684</v>
      </c>
      <c r="AH34" s="156"/>
      <c r="AI34" s="156"/>
      <c r="AJ34" s="136"/>
      <c r="AK34" s="144"/>
      <c r="AL34" s="578"/>
      <c r="AM34" s="609"/>
      <c r="AN34" s="609"/>
      <c r="AO34" s="578"/>
      <c r="AP34" s="581"/>
    </row>
    <row r="35" spans="1:42" s="5" customFormat="1" ht="53.25" customHeight="1" x14ac:dyDescent="0.25">
      <c r="A35" s="665"/>
      <c r="B35" s="619"/>
      <c r="C35" s="622"/>
      <c r="D35" s="597"/>
      <c r="E35" s="597"/>
      <c r="F35" s="597"/>
      <c r="G35" s="138" t="s">
        <v>11</v>
      </c>
      <c r="H35" s="171"/>
      <c r="I35" s="171"/>
      <c r="J35" s="171"/>
      <c r="K35" s="171"/>
      <c r="L35" s="171"/>
      <c r="M35" s="171"/>
      <c r="N35" s="171"/>
      <c r="O35" s="171"/>
      <c r="P35" s="129"/>
      <c r="Q35" s="171"/>
      <c r="R35" s="171"/>
      <c r="S35" s="171"/>
      <c r="T35" s="171"/>
      <c r="U35" s="171"/>
      <c r="V35" s="69"/>
      <c r="W35" s="129"/>
      <c r="X35" s="129"/>
      <c r="Y35" s="171"/>
      <c r="Z35" s="171"/>
      <c r="AA35" s="171"/>
      <c r="AB35" s="219"/>
      <c r="AC35" s="171"/>
      <c r="AD35" s="171"/>
      <c r="AE35" s="171"/>
      <c r="AF35" s="141"/>
      <c r="AG35" s="219"/>
      <c r="AH35" s="129"/>
      <c r="AI35" s="129"/>
      <c r="AJ35" s="140"/>
      <c r="AK35" s="144"/>
      <c r="AL35" s="578"/>
      <c r="AM35" s="609"/>
      <c r="AN35" s="609"/>
      <c r="AO35" s="578"/>
      <c r="AP35" s="581"/>
    </row>
    <row r="36" spans="1:42" s="5" customFormat="1" ht="62.25" customHeight="1" x14ac:dyDescent="0.25">
      <c r="A36" s="665"/>
      <c r="B36" s="619"/>
      <c r="C36" s="622"/>
      <c r="D36" s="597"/>
      <c r="E36" s="597"/>
      <c r="F36" s="597"/>
      <c r="G36" s="138" t="s">
        <v>12</v>
      </c>
      <c r="H36" s="171"/>
      <c r="I36" s="171"/>
      <c r="J36" s="171"/>
      <c r="K36" s="171"/>
      <c r="L36" s="225">
        <v>289270000</v>
      </c>
      <c r="M36" s="225">
        <v>289270000</v>
      </c>
      <c r="N36" s="225">
        <v>289270000</v>
      </c>
      <c r="O36" s="225">
        <v>289270000</v>
      </c>
      <c r="P36" s="156">
        <v>235270000</v>
      </c>
      <c r="Q36" s="181">
        <v>788509690</v>
      </c>
      <c r="R36" s="181">
        <v>788509690</v>
      </c>
      <c r="S36" s="181">
        <v>788509690</v>
      </c>
      <c r="T36" s="181">
        <v>780809690</v>
      </c>
      <c r="U36" s="171">
        <v>725288449</v>
      </c>
      <c r="V36" s="66">
        <v>440908932</v>
      </c>
      <c r="W36" s="129">
        <v>440908932</v>
      </c>
      <c r="X36" s="129">
        <v>440908932</v>
      </c>
      <c r="Y36" s="231">
        <v>433411765</v>
      </c>
      <c r="Z36" s="171">
        <v>427992098</v>
      </c>
      <c r="AA36" s="171"/>
      <c r="AB36" s="217">
        <v>504898189</v>
      </c>
      <c r="AC36" s="171"/>
      <c r="AD36" s="171"/>
      <c r="AE36" s="171"/>
      <c r="AF36" s="162"/>
      <c r="AG36" s="217">
        <v>277966525</v>
      </c>
      <c r="AH36" s="156"/>
      <c r="AI36" s="156"/>
      <c r="AJ36" s="140"/>
      <c r="AK36" s="144"/>
      <c r="AL36" s="578"/>
      <c r="AM36" s="609"/>
      <c r="AN36" s="609"/>
      <c r="AO36" s="578"/>
      <c r="AP36" s="581"/>
    </row>
    <row r="37" spans="1:42" s="5" customFormat="1" ht="54.75" customHeight="1" x14ac:dyDescent="0.25">
      <c r="A37" s="665"/>
      <c r="B37" s="619"/>
      <c r="C37" s="622"/>
      <c r="D37" s="597"/>
      <c r="E37" s="597"/>
      <c r="F37" s="597"/>
      <c r="G37" s="138" t="s">
        <v>13</v>
      </c>
      <c r="H37" s="176">
        <f>+H33</f>
        <v>6</v>
      </c>
      <c r="I37" s="176"/>
      <c r="J37" s="176">
        <f t="shared" ref="J37:O37" si="6">+J33</f>
        <v>2</v>
      </c>
      <c r="K37" s="176">
        <f t="shared" si="6"/>
        <v>2</v>
      </c>
      <c r="L37" s="176">
        <f t="shared" si="6"/>
        <v>3</v>
      </c>
      <c r="M37" s="176">
        <f t="shared" si="6"/>
        <v>3</v>
      </c>
      <c r="N37" s="176">
        <f t="shared" si="6"/>
        <v>3</v>
      </c>
      <c r="O37" s="176">
        <f t="shared" si="6"/>
        <v>3</v>
      </c>
      <c r="P37" s="139">
        <v>3</v>
      </c>
      <c r="Q37" s="176">
        <f>+Q33</f>
        <v>4</v>
      </c>
      <c r="R37" s="176">
        <f>+R33</f>
        <v>4</v>
      </c>
      <c r="S37" s="176">
        <v>4</v>
      </c>
      <c r="T37" s="176">
        <v>4</v>
      </c>
      <c r="U37" s="176">
        <v>4</v>
      </c>
      <c r="V37" s="70">
        <f t="shared" ref="V37" si="7">+V33</f>
        <v>5</v>
      </c>
      <c r="W37" s="176">
        <v>5</v>
      </c>
      <c r="X37" s="176">
        <v>5</v>
      </c>
      <c r="Y37" s="176">
        <v>5</v>
      </c>
      <c r="Z37" s="176">
        <v>5</v>
      </c>
      <c r="AA37" s="176"/>
      <c r="AB37" s="163">
        <v>6</v>
      </c>
      <c r="AC37" s="176"/>
      <c r="AD37" s="176"/>
      <c r="AE37" s="176"/>
      <c r="AF37" s="135"/>
      <c r="AG37" s="133">
        <v>6</v>
      </c>
      <c r="AH37" s="139"/>
      <c r="AI37" s="139"/>
      <c r="AJ37" s="140"/>
      <c r="AK37" s="144"/>
      <c r="AL37" s="578"/>
      <c r="AM37" s="609"/>
      <c r="AN37" s="609"/>
      <c r="AO37" s="578"/>
      <c r="AP37" s="581"/>
    </row>
    <row r="38" spans="1:42" s="5" customFormat="1" ht="63.75" customHeight="1" thickBot="1" x14ac:dyDescent="0.3">
      <c r="A38" s="665"/>
      <c r="B38" s="629"/>
      <c r="C38" s="623"/>
      <c r="D38" s="598"/>
      <c r="E38" s="598"/>
      <c r="F38" s="598"/>
      <c r="G38" s="148" t="s">
        <v>14</v>
      </c>
      <c r="H38" s="178">
        <f>+H34</f>
        <v>5401432791</v>
      </c>
      <c r="I38" s="178"/>
      <c r="J38" s="178">
        <f>+J34</f>
        <v>601240000</v>
      </c>
      <c r="K38" s="178">
        <f>+K34</f>
        <v>598840000</v>
      </c>
      <c r="L38" s="178">
        <f t="shared" ref="L38:Q38" si="8">+L34+L36</f>
        <v>2186771796</v>
      </c>
      <c r="M38" s="178">
        <f t="shared" si="8"/>
        <v>2186771796</v>
      </c>
      <c r="N38" s="178">
        <f t="shared" si="8"/>
        <v>2186771796</v>
      </c>
      <c r="O38" s="178">
        <f t="shared" si="8"/>
        <v>2186771796</v>
      </c>
      <c r="P38" s="150">
        <f t="shared" si="8"/>
        <v>2132453657</v>
      </c>
      <c r="Q38" s="178">
        <f t="shared" si="8"/>
        <v>1904671690</v>
      </c>
      <c r="R38" s="178">
        <f>+R34+R36</f>
        <v>1904671690</v>
      </c>
      <c r="S38" s="178">
        <v>1904671690</v>
      </c>
      <c r="T38" s="178">
        <v>1922511690</v>
      </c>
      <c r="U38" s="178">
        <v>1531912583</v>
      </c>
      <c r="V38" s="68">
        <f>+V34</f>
        <v>2098785000</v>
      </c>
      <c r="W38" s="178">
        <v>2098785000</v>
      </c>
      <c r="X38" s="178">
        <v>2569693932</v>
      </c>
      <c r="Y38" s="178">
        <v>2570122240</v>
      </c>
      <c r="Z38" s="178">
        <v>2326661006</v>
      </c>
      <c r="AA38" s="178"/>
      <c r="AB38" s="228">
        <v>3502496189</v>
      </c>
      <c r="AC38" s="178"/>
      <c r="AD38" s="178"/>
      <c r="AE38" s="178"/>
      <c r="AF38" s="159"/>
      <c r="AG38" s="228">
        <v>1175762209</v>
      </c>
      <c r="AH38" s="150"/>
      <c r="AI38" s="150"/>
      <c r="AJ38" s="151"/>
      <c r="AK38" s="152"/>
      <c r="AL38" s="579"/>
      <c r="AM38" s="610"/>
      <c r="AN38" s="610"/>
      <c r="AO38" s="579"/>
      <c r="AP38" s="582"/>
    </row>
    <row r="39" spans="1:42" s="5" customFormat="1" ht="45" customHeight="1" x14ac:dyDescent="0.25">
      <c r="A39" s="665"/>
      <c r="B39" s="599">
        <v>6</v>
      </c>
      <c r="C39" s="626" t="s">
        <v>154</v>
      </c>
      <c r="D39" s="596" t="s">
        <v>112</v>
      </c>
      <c r="E39" s="596">
        <v>300</v>
      </c>
      <c r="F39" s="596">
        <v>179</v>
      </c>
      <c r="G39" s="134" t="s">
        <v>9</v>
      </c>
      <c r="H39" s="155">
        <v>8</v>
      </c>
      <c r="I39" s="155"/>
      <c r="J39" s="155">
        <v>0</v>
      </c>
      <c r="K39" s="155">
        <v>0</v>
      </c>
      <c r="L39" s="155">
        <v>4</v>
      </c>
      <c r="M39" s="155">
        <v>4</v>
      </c>
      <c r="N39" s="155">
        <v>4</v>
      </c>
      <c r="O39" s="155">
        <v>4</v>
      </c>
      <c r="P39" s="65">
        <v>4</v>
      </c>
      <c r="Q39" s="155">
        <v>4</v>
      </c>
      <c r="R39" s="155">
        <v>4</v>
      </c>
      <c r="S39" s="155">
        <v>4</v>
      </c>
      <c r="T39" s="155">
        <v>4</v>
      </c>
      <c r="U39" s="155">
        <v>2.2999999999999998</v>
      </c>
      <c r="V39" s="65">
        <v>0</v>
      </c>
      <c r="W39" s="155">
        <v>0</v>
      </c>
      <c r="X39" s="155"/>
      <c r="Y39" s="155"/>
      <c r="Z39" s="155"/>
      <c r="AA39" s="155"/>
      <c r="AB39" s="155"/>
      <c r="AC39" s="155"/>
      <c r="AD39" s="155"/>
      <c r="AE39" s="155"/>
      <c r="AF39" s="232"/>
      <c r="AG39" s="233"/>
      <c r="AH39" s="234"/>
      <c r="AI39" s="65"/>
      <c r="AJ39" s="136"/>
      <c r="AK39" s="137"/>
      <c r="AL39" s="577" t="s">
        <v>435</v>
      </c>
      <c r="AM39" s="608"/>
      <c r="AN39" s="608"/>
      <c r="AO39" s="577" t="s">
        <v>436</v>
      </c>
      <c r="AP39" s="580"/>
    </row>
    <row r="40" spans="1:42" s="5" customFormat="1" ht="36" customHeight="1" x14ac:dyDescent="0.25">
      <c r="A40" s="665"/>
      <c r="B40" s="600"/>
      <c r="C40" s="622"/>
      <c r="D40" s="597"/>
      <c r="E40" s="597"/>
      <c r="F40" s="597"/>
      <c r="G40" s="138" t="s">
        <v>10</v>
      </c>
      <c r="H40" s="146">
        <f>K40+P40+U40+V40+AA40</f>
        <v>132333882</v>
      </c>
      <c r="I40" s="146"/>
      <c r="J40" s="146">
        <v>0</v>
      </c>
      <c r="K40" s="146">
        <v>0</v>
      </c>
      <c r="L40" s="146">
        <v>160000000</v>
      </c>
      <c r="M40" s="146">
        <v>160000000</v>
      </c>
      <c r="N40" s="146">
        <v>160000000</v>
      </c>
      <c r="O40" s="146">
        <v>160000000</v>
      </c>
      <c r="P40" s="156">
        <v>77333882</v>
      </c>
      <c r="Q40" s="146">
        <v>55000000</v>
      </c>
      <c r="R40" s="146">
        <v>55000000</v>
      </c>
      <c r="S40" s="146">
        <v>55000000</v>
      </c>
      <c r="T40" s="146">
        <v>55000000</v>
      </c>
      <c r="U40" s="146">
        <v>55000000</v>
      </c>
      <c r="V40" s="66">
        <v>0</v>
      </c>
      <c r="W40" s="146">
        <v>0</v>
      </c>
      <c r="X40" s="146"/>
      <c r="Y40" s="146"/>
      <c r="Z40" s="146"/>
      <c r="AA40" s="146"/>
      <c r="AB40" s="146"/>
      <c r="AC40" s="146"/>
      <c r="AD40" s="146"/>
      <c r="AE40" s="146"/>
      <c r="AF40" s="157"/>
      <c r="AG40" s="146"/>
      <c r="AH40" s="142"/>
      <c r="AI40" s="156"/>
      <c r="AJ40" s="140"/>
      <c r="AK40" s="144"/>
      <c r="AL40" s="578"/>
      <c r="AM40" s="609"/>
      <c r="AN40" s="609"/>
      <c r="AO40" s="578"/>
      <c r="AP40" s="581"/>
    </row>
    <row r="41" spans="1:42" s="5" customFormat="1" ht="40.5" customHeight="1" x14ac:dyDescent="0.25">
      <c r="A41" s="665"/>
      <c r="B41" s="600"/>
      <c r="C41" s="622"/>
      <c r="D41" s="597"/>
      <c r="E41" s="597"/>
      <c r="F41" s="597"/>
      <c r="G41" s="138" t="s">
        <v>11</v>
      </c>
      <c r="H41" s="171"/>
      <c r="I41" s="171"/>
      <c r="J41" s="171"/>
      <c r="K41" s="171"/>
      <c r="L41" s="171"/>
      <c r="M41" s="171"/>
      <c r="N41" s="171"/>
      <c r="O41" s="171"/>
      <c r="P41" s="156"/>
      <c r="Q41" s="171"/>
      <c r="R41" s="171"/>
      <c r="S41" s="171"/>
      <c r="T41" s="171"/>
      <c r="U41" s="171"/>
      <c r="V41" s="164">
        <f>8-Q39-U39</f>
        <v>1.7000000000000002</v>
      </c>
      <c r="W41" s="129">
        <v>1.7</v>
      </c>
      <c r="X41" s="129">
        <v>1.7</v>
      </c>
      <c r="Y41" s="171">
        <v>1.7</v>
      </c>
      <c r="Z41" s="171">
        <v>1.7</v>
      </c>
      <c r="AA41" s="171"/>
      <c r="AB41" s="171"/>
      <c r="AC41" s="171"/>
      <c r="AD41" s="171"/>
      <c r="AE41" s="171"/>
      <c r="AF41" s="141"/>
      <c r="AG41" s="129"/>
      <c r="AH41" s="142"/>
      <c r="AI41" s="156"/>
      <c r="AJ41" s="140"/>
      <c r="AK41" s="144"/>
      <c r="AL41" s="578"/>
      <c r="AM41" s="609"/>
      <c r="AN41" s="609"/>
      <c r="AO41" s="578"/>
      <c r="AP41" s="581"/>
    </row>
    <row r="42" spans="1:42" s="5" customFormat="1" ht="33" customHeight="1" x14ac:dyDescent="0.25">
      <c r="A42" s="665"/>
      <c r="B42" s="600"/>
      <c r="C42" s="622"/>
      <c r="D42" s="597"/>
      <c r="E42" s="597"/>
      <c r="F42" s="597"/>
      <c r="G42" s="138" t="s">
        <v>12</v>
      </c>
      <c r="H42" s="175"/>
      <c r="I42" s="175"/>
      <c r="J42" s="175"/>
      <c r="K42" s="175"/>
      <c r="L42" s="175"/>
      <c r="M42" s="175"/>
      <c r="N42" s="175"/>
      <c r="O42" s="175"/>
      <c r="P42" s="156"/>
      <c r="Q42" s="156">
        <v>77333882</v>
      </c>
      <c r="R42" s="156">
        <v>77333882</v>
      </c>
      <c r="S42" s="156">
        <v>77333882</v>
      </c>
      <c r="T42" s="156">
        <v>77333882</v>
      </c>
      <c r="U42" s="175">
        <v>77333882</v>
      </c>
      <c r="V42" s="69">
        <v>55000000</v>
      </c>
      <c r="W42" s="174">
        <v>55000000</v>
      </c>
      <c r="X42" s="174">
        <v>55000000</v>
      </c>
      <c r="Y42" s="175">
        <v>55000000</v>
      </c>
      <c r="Z42" s="175">
        <v>55000000</v>
      </c>
      <c r="AA42" s="175"/>
      <c r="AB42" s="175"/>
      <c r="AC42" s="175"/>
      <c r="AD42" s="175"/>
      <c r="AE42" s="175"/>
      <c r="AF42" s="157"/>
      <c r="AG42" s="146"/>
      <c r="AH42" s="146"/>
      <c r="AI42" s="156"/>
      <c r="AJ42" s="140"/>
      <c r="AK42" s="144"/>
      <c r="AL42" s="578"/>
      <c r="AM42" s="609"/>
      <c r="AN42" s="609"/>
      <c r="AO42" s="578"/>
      <c r="AP42" s="581"/>
    </row>
    <row r="43" spans="1:42" s="5" customFormat="1" ht="36" customHeight="1" x14ac:dyDescent="0.25">
      <c r="A43" s="665"/>
      <c r="B43" s="600"/>
      <c r="C43" s="622"/>
      <c r="D43" s="597"/>
      <c r="E43" s="597"/>
      <c r="F43" s="597"/>
      <c r="G43" s="138" t="s">
        <v>13</v>
      </c>
      <c r="H43" s="176">
        <f>+H39</f>
        <v>8</v>
      </c>
      <c r="I43" s="176"/>
      <c r="J43" s="176">
        <v>0</v>
      </c>
      <c r="K43" s="176">
        <v>0</v>
      </c>
      <c r="L43" s="176">
        <f t="shared" ref="L43:O44" si="9">+L39</f>
        <v>4</v>
      </c>
      <c r="M43" s="176">
        <f t="shared" si="9"/>
        <v>4</v>
      </c>
      <c r="N43" s="176">
        <f t="shared" si="9"/>
        <v>4</v>
      </c>
      <c r="O43" s="176">
        <f t="shared" si="9"/>
        <v>4</v>
      </c>
      <c r="P43" s="139">
        <f>+P39+P41</f>
        <v>4</v>
      </c>
      <c r="Q43" s="176">
        <v>4</v>
      </c>
      <c r="R43" s="176">
        <v>4</v>
      </c>
      <c r="S43" s="176">
        <v>4</v>
      </c>
      <c r="T43" s="176">
        <v>4</v>
      </c>
      <c r="U43" s="176">
        <v>2.2999999999999998</v>
      </c>
      <c r="V43" s="141">
        <f>+V41</f>
        <v>1.7000000000000002</v>
      </c>
      <c r="W43" s="176">
        <v>0</v>
      </c>
      <c r="X43" s="176">
        <v>1.7</v>
      </c>
      <c r="Y43" s="176">
        <v>1.7</v>
      </c>
      <c r="Z43" s="176">
        <v>1.7</v>
      </c>
      <c r="AA43" s="176"/>
      <c r="AB43" s="176"/>
      <c r="AC43" s="176"/>
      <c r="AD43" s="176"/>
      <c r="AE43" s="176"/>
      <c r="AF43" s="141"/>
      <c r="AG43" s="129"/>
      <c r="AH43" s="142"/>
      <c r="AI43" s="139"/>
      <c r="AJ43" s="140"/>
      <c r="AK43" s="144"/>
      <c r="AL43" s="578"/>
      <c r="AM43" s="609"/>
      <c r="AN43" s="609"/>
      <c r="AO43" s="578"/>
      <c r="AP43" s="581"/>
    </row>
    <row r="44" spans="1:42" s="5" customFormat="1" ht="49.5" customHeight="1" thickBot="1" x14ac:dyDescent="0.3">
      <c r="A44" s="665"/>
      <c r="B44" s="601"/>
      <c r="C44" s="623"/>
      <c r="D44" s="598"/>
      <c r="E44" s="598"/>
      <c r="F44" s="598"/>
      <c r="G44" s="148" t="s">
        <v>14</v>
      </c>
      <c r="H44" s="178">
        <f>+H40</f>
        <v>132333882</v>
      </c>
      <c r="I44" s="178"/>
      <c r="J44" s="178">
        <v>0</v>
      </c>
      <c r="K44" s="178">
        <v>0</v>
      </c>
      <c r="L44" s="178">
        <f t="shared" si="9"/>
        <v>160000000</v>
      </c>
      <c r="M44" s="178">
        <f t="shared" si="9"/>
        <v>160000000</v>
      </c>
      <c r="N44" s="178">
        <f t="shared" si="9"/>
        <v>160000000</v>
      </c>
      <c r="O44" s="178">
        <f t="shared" si="9"/>
        <v>160000000</v>
      </c>
      <c r="P44" s="150">
        <f>+P40+P42</f>
        <v>77333882</v>
      </c>
      <c r="Q44" s="178">
        <f>+Q40+Q42</f>
        <v>132333882</v>
      </c>
      <c r="R44" s="178">
        <f>+R40+R42</f>
        <v>132333882</v>
      </c>
      <c r="S44" s="178">
        <v>132333882</v>
      </c>
      <c r="T44" s="178">
        <v>132333882</v>
      </c>
      <c r="U44" s="178">
        <v>132333882</v>
      </c>
      <c r="V44" s="235">
        <f>+V42</f>
        <v>55000000</v>
      </c>
      <c r="W44" s="178">
        <v>0</v>
      </c>
      <c r="X44" s="178">
        <v>55000000</v>
      </c>
      <c r="Y44" s="178">
        <v>55000000</v>
      </c>
      <c r="Z44" s="178">
        <v>55000000</v>
      </c>
      <c r="AA44" s="178"/>
      <c r="AB44" s="178"/>
      <c r="AC44" s="178"/>
      <c r="AD44" s="178"/>
      <c r="AE44" s="178"/>
      <c r="AF44" s="235"/>
      <c r="AG44" s="178"/>
      <c r="AH44" s="236"/>
      <c r="AI44" s="150"/>
      <c r="AJ44" s="151"/>
      <c r="AK44" s="152"/>
      <c r="AL44" s="579"/>
      <c r="AM44" s="610"/>
      <c r="AN44" s="610"/>
      <c r="AO44" s="579"/>
      <c r="AP44" s="582"/>
    </row>
    <row r="45" spans="1:42" s="5" customFormat="1" ht="63.75" customHeight="1" x14ac:dyDescent="0.25">
      <c r="A45" s="665"/>
      <c r="B45" s="628">
        <v>7</v>
      </c>
      <c r="C45" s="626" t="s">
        <v>155</v>
      </c>
      <c r="D45" s="596" t="s">
        <v>113</v>
      </c>
      <c r="E45" s="596">
        <v>311</v>
      </c>
      <c r="F45" s="596">
        <v>182</v>
      </c>
      <c r="G45" s="134" t="s">
        <v>9</v>
      </c>
      <c r="H45" s="155">
        <v>100</v>
      </c>
      <c r="I45" s="155"/>
      <c r="J45" s="155">
        <v>0</v>
      </c>
      <c r="K45" s="155">
        <v>0</v>
      </c>
      <c r="L45" s="155">
        <v>0</v>
      </c>
      <c r="M45" s="155">
        <v>0</v>
      </c>
      <c r="N45" s="155">
        <v>0</v>
      </c>
      <c r="O45" s="155">
        <v>0</v>
      </c>
      <c r="P45" s="237">
        <v>0</v>
      </c>
      <c r="Q45" s="155">
        <v>0</v>
      </c>
      <c r="R45" s="155">
        <v>0</v>
      </c>
      <c r="S45" s="155"/>
      <c r="T45" s="155"/>
      <c r="U45" s="155"/>
      <c r="V45" s="65">
        <v>100</v>
      </c>
      <c r="W45" s="155">
        <v>100</v>
      </c>
      <c r="X45" s="155">
        <v>100</v>
      </c>
      <c r="Y45" s="155">
        <v>100</v>
      </c>
      <c r="Z45" s="155">
        <v>100</v>
      </c>
      <c r="AA45" s="155"/>
      <c r="AB45" s="160"/>
      <c r="AC45" s="155"/>
      <c r="AD45" s="155"/>
      <c r="AE45" s="155"/>
      <c r="AF45" s="165"/>
      <c r="AG45" s="160"/>
      <c r="AH45" s="237"/>
      <c r="AI45" s="237"/>
      <c r="AJ45" s="136"/>
      <c r="AK45" s="137"/>
      <c r="AL45" s="577" t="s">
        <v>437</v>
      </c>
      <c r="AM45" s="608" t="s">
        <v>438</v>
      </c>
      <c r="AN45" s="608" t="s">
        <v>439</v>
      </c>
      <c r="AO45" s="577" t="s">
        <v>386</v>
      </c>
      <c r="AP45" s="580" t="s">
        <v>440</v>
      </c>
    </row>
    <row r="46" spans="1:42" s="5" customFormat="1" ht="66.75" customHeight="1" x14ac:dyDescent="0.25">
      <c r="A46" s="665"/>
      <c r="B46" s="619"/>
      <c r="C46" s="622"/>
      <c r="D46" s="597"/>
      <c r="E46" s="597"/>
      <c r="F46" s="597"/>
      <c r="G46" s="138" t="s">
        <v>10</v>
      </c>
      <c r="H46" s="146">
        <f>K46+P46+U46+V46+AA46</f>
        <v>12000000</v>
      </c>
      <c r="I46" s="146"/>
      <c r="J46" s="146">
        <v>0</v>
      </c>
      <c r="K46" s="146">
        <v>0</v>
      </c>
      <c r="L46" s="146">
        <v>0</v>
      </c>
      <c r="M46" s="146">
        <v>0</v>
      </c>
      <c r="N46" s="146">
        <v>0</v>
      </c>
      <c r="O46" s="146">
        <v>0</v>
      </c>
      <c r="P46" s="238">
        <v>0</v>
      </c>
      <c r="Q46" s="146">
        <v>0</v>
      </c>
      <c r="R46" s="146">
        <v>0</v>
      </c>
      <c r="S46" s="146"/>
      <c r="T46" s="146"/>
      <c r="U46" s="146"/>
      <c r="V46" s="66">
        <v>12000000</v>
      </c>
      <c r="W46" s="146">
        <v>12000000</v>
      </c>
      <c r="X46" s="146">
        <v>12000000</v>
      </c>
      <c r="Y46" s="146">
        <v>12000000</v>
      </c>
      <c r="Z46" s="146">
        <v>5595000</v>
      </c>
      <c r="AA46" s="146"/>
      <c r="AB46" s="216"/>
      <c r="AC46" s="146"/>
      <c r="AD46" s="146"/>
      <c r="AE46" s="146"/>
      <c r="AF46" s="166"/>
      <c r="AG46" s="217"/>
      <c r="AH46" s="238"/>
      <c r="AI46" s="238"/>
      <c r="AJ46" s="140"/>
      <c r="AK46" s="144"/>
      <c r="AL46" s="578"/>
      <c r="AM46" s="609"/>
      <c r="AN46" s="609"/>
      <c r="AO46" s="578"/>
      <c r="AP46" s="581"/>
    </row>
    <row r="47" spans="1:42" s="5" customFormat="1" ht="53.25" customHeight="1" x14ac:dyDescent="0.25">
      <c r="A47" s="665"/>
      <c r="B47" s="619"/>
      <c r="C47" s="622"/>
      <c r="D47" s="597"/>
      <c r="E47" s="597"/>
      <c r="F47" s="597"/>
      <c r="G47" s="138" t="s">
        <v>11</v>
      </c>
      <c r="H47" s="171"/>
      <c r="I47" s="171"/>
      <c r="J47" s="171"/>
      <c r="K47" s="171"/>
      <c r="L47" s="171"/>
      <c r="M47" s="171"/>
      <c r="N47" s="171"/>
      <c r="O47" s="171"/>
      <c r="P47" s="239"/>
      <c r="Q47" s="171"/>
      <c r="R47" s="171"/>
      <c r="S47" s="171"/>
      <c r="T47" s="171"/>
      <c r="U47" s="171"/>
      <c r="V47" s="69"/>
      <c r="W47" s="129"/>
      <c r="X47" s="129"/>
      <c r="Y47" s="171"/>
      <c r="Z47" s="171"/>
      <c r="AA47" s="171"/>
      <c r="AB47" s="219">
        <v>100</v>
      </c>
      <c r="AC47" s="171"/>
      <c r="AD47" s="171"/>
      <c r="AE47" s="171"/>
      <c r="AF47" s="166"/>
      <c r="AG47" s="219">
        <v>100</v>
      </c>
      <c r="AH47" s="239"/>
      <c r="AI47" s="239"/>
      <c r="AJ47" s="140"/>
      <c r="AK47" s="144"/>
      <c r="AL47" s="578"/>
      <c r="AM47" s="609"/>
      <c r="AN47" s="609"/>
      <c r="AO47" s="578"/>
      <c r="AP47" s="581"/>
    </row>
    <row r="48" spans="1:42" s="5" customFormat="1" ht="62.25" customHeight="1" x14ac:dyDescent="0.25">
      <c r="A48" s="665"/>
      <c r="B48" s="619"/>
      <c r="C48" s="622"/>
      <c r="D48" s="597"/>
      <c r="E48" s="597"/>
      <c r="F48" s="597"/>
      <c r="G48" s="138" t="s">
        <v>12</v>
      </c>
      <c r="H48" s="171"/>
      <c r="I48" s="171"/>
      <c r="J48" s="171"/>
      <c r="K48" s="171"/>
      <c r="L48" s="171"/>
      <c r="M48" s="171"/>
      <c r="N48" s="171"/>
      <c r="O48" s="171"/>
      <c r="P48" s="239"/>
      <c r="Q48" s="171"/>
      <c r="R48" s="171"/>
      <c r="S48" s="171"/>
      <c r="T48" s="171"/>
      <c r="U48" s="171"/>
      <c r="V48" s="69"/>
      <c r="W48" s="129"/>
      <c r="X48" s="129"/>
      <c r="Y48" s="171"/>
      <c r="Z48" s="171"/>
      <c r="AA48" s="171"/>
      <c r="AB48" s="217">
        <v>5595000</v>
      </c>
      <c r="AC48" s="171"/>
      <c r="AD48" s="171"/>
      <c r="AE48" s="171"/>
      <c r="AF48" s="166"/>
      <c r="AG48" s="217">
        <v>0</v>
      </c>
      <c r="AH48" s="239"/>
      <c r="AI48" s="239"/>
      <c r="AJ48" s="140"/>
      <c r="AK48" s="144"/>
      <c r="AL48" s="578"/>
      <c r="AM48" s="609"/>
      <c r="AN48" s="609"/>
      <c r="AO48" s="578"/>
      <c r="AP48" s="581"/>
    </row>
    <row r="49" spans="1:42" s="5" customFormat="1" ht="54.75" customHeight="1" x14ac:dyDescent="0.25">
      <c r="A49" s="665"/>
      <c r="B49" s="619"/>
      <c r="C49" s="622"/>
      <c r="D49" s="597"/>
      <c r="E49" s="597"/>
      <c r="F49" s="597"/>
      <c r="G49" s="138" t="s">
        <v>13</v>
      </c>
      <c r="H49" s="176">
        <f>+H45</f>
        <v>100</v>
      </c>
      <c r="I49" s="176"/>
      <c r="J49" s="176">
        <f t="shared" ref="J49" si="10">+J45</f>
        <v>0</v>
      </c>
      <c r="K49" s="176">
        <f t="shared" ref="K49:O50" si="11">+K45</f>
        <v>0</v>
      </c>
      <c r="L49" s="176">
        <f t="shared" si="11"/>
        <v>0</v>
      </c>
      <c r="M49" s="176">
        <f t="shared" si="11"/>
        <v>0</v>
      </c>
      <c r="N49" s="176">
        <f t="shared" si="11"/>
        <v>0</v>
      </c>
      <c r="O49" s="176">
        <f t="shared" si="11"/>
        <v>0</v>
      </c>
      <c r="P49" s="239">
        <v>0</v>
      </c>
      <c r="Q49" s="176">
        <f t="shared" ref="Q49:R50" si="12">+Q45</f>
        <v>0</v>
      </c>
      <c r="R49" s="176">
        <f t="shared" si="12"/>
        <v>0</v>
      </c>
      <c r="S49" s="176"/>
      <c r="T49" s="176"/>
      <c r="U49" s="176"/>
      <c r="V49" s="70">
        <v>0</v>
      </c>
      <c r="W49" s="176">
        <v>0</v>
      </c>
      <c r="X49" s="176">
        <v>100</v>
      </c>
      <c r="Y49" s="176">
        <v>100</v>
      </c>
      <c r="Z49" s="176">
        <v>100</v>
      </c>
      <c r="AA49" s="176"/>
      <c r="AB49" s="163">
        <v>100</v>
      </c>
      <c r="AC49" s="176"/>
      <c r="AD49" s="176"/>
      <c r="AE49" s="176"/>
      <c r="AF49" s="166"/>
      <c r="AG49" s="133">
        <v>100</v>
      </c>
      <c r="AH49" s="239"/>
      <c r="AI49" s="239"/>
      <c r="AJ49" s="140"/>
      <c r="AK49" s="144"/>
      <c r="AL49" s="578"/>
      <c r="AM49" s="609"/>
      <c r="AN49" s="609"/>
      <c r="AO49" s="578"/>
      <c r="AP49" s="581"/>
    </row>
    <row r="50" spans="1:42" s="5" customFormat="1" ht="63.75" customHeight="1" thickBot="1" x14ac:dyDescent="0.3">
      <c r="A50" s="665"/>
      <c r="B50" s="629"/>
      <c r="C50" s="623"/>
      <c r="D50" s="598"/>
      <c r="E50" s="598"/>
      <c r="F50" s="598"/>
      <c r="G50" s="148" t="s">
        <v>14</v>
      </c>
      <c r="H50" s="178">
        <f>+H46</f>
        <v>12000000</v>
      </c>
      <c r="I50" s="178"/>
      <c r="J50" s="178">
        <f t="shared" ref="J50" si="13">+J46</f>
        <v>0</v>
      </c>
      <c r="K50" s="178">
        <f t="shared" si="11"/>
        <v>0</v>
      </c>
      <c r="L50" s="178">
        <f t="shared" si="11"/>
        <v>0</v>
      </c>
      <c r="M50" s="178">
        <f t="shared" si="11"/>
        <v>0</v>
      </c>
      <c r="N50" s="178">
        <f t="shared" si="11"/>
        <v>0</v>
      </c>
      <c r="O50" s="178">
        <f t="shared" si="11"/>
        <v>0</v>
      </c>
      <c r="P50" s="240">
        <v>0</v>
      </c>
      <c r="Q50" s="178">
        <f t="shared" si="12"/>
        <v>0</v>
      </c>
      <c r="R50" s="178">
        <f t="shared" si="12"/>
        <v>0</v>
      </c>
      <c r="S50" s="178"/>
      <c r="T50" s="178"/>
      <c r="U50" s="178"/>
      <c r="V50" s="68"/>
      <c r="W50" s="178"/>
      <c r="X50" s="178">
        <v>12000000</v>
      </c>
      <c r="Y50" s="178">
        <v>12000000</v>
      </c>
      <c r="Z50" s="178">
        <v>5595000</v>
      </c>
      <c r="AA50" s="178"/>
      <c r="AB50" s="228">
        <v>5595000</v>
      </c>
      <c r="AC50" s="178"/>
      <c r="AD50" s="178"/>
      <c r="AE50" s="178"/>
      <c r="AF50" s="167"/>
      <c r="AG50" s="228">
        <v>0</v>
      </c>
      <c r="AH50" s="240"/>
      <c r="AI50" s="240"/>
      <c r="AJ50" s="151"/>
      <c r="AK50" s="152"/>
      <c r="AL50" s="579"/>
      <c r="AM50" s="610"/>
      <c r="AN50" s="610"/>
      <c r="AO50" s="579"/>
      <c r="AP50" s="582"/>
    </row>
    <row r="51" spans="1:42" s="5" customFormat="1" ht="45" customHeight="1" x14ac:dyDescent="0.25">
      <c r="A51" s="665" t="s">
        <v>184</v>
      </c>
      <c r="B51" s="599">
        <v>8</v>
      </c>
      <c r="C51" s="626" t="s">
        <v>156</v>
      </c>
      <c r="D51" s="596" t="s">
        <v>114</v>
      </c>
      <c r="E51" s="596">
        <v>304</v>
      </c>
      <c r="F51" s="596">
        <v>179</v>
      </c>
      <c r="G51" s="134" t="s">
        <v>9</v>
      </c>
      <c r="H51" s="155">
        <v>4</v>
      </c>
      <c r="I51" s="155"/>
      <c r="J51" s="107">
        <v>0.5</v>
      </c>
      <c r="K51" s="65">
        <v>0.4</v>
      </c>
      <c r="L51" s="65">
        <v>0.92</v>
      </c>
      <c r="M51" s="65">
        <v>0.92</v>
      </c>
      <c r="N51" s="65">
        <v>0.92</v>
      </c>
      <c r="O51" s="65">
        <v>0.92</v>
      </c>
      <c r="P51" s="170">
        <v>0.92</v>
      </c>
      <c r="Q51" s="168">
        <v>1.5</v>
      </c>
      <c r="R51" s="168">
        <v>1.5</v>
      </c>
      <c r="S51" s="168">
        <v>1.5</v>
      </c>
      <c r="T51" s="168">
        <v>1.5</v>
      </c>
      <c r="U51" s="155">
        <v>1.5</v>
      </c>
      <c r="V51" s="65">
        <v>3</v>
      </c>
      <c r="W51" s="65">
        <v>3.1</v>
      </c>
      <c r="X51" s="155">
        <v>3.5</v>
      </c>
      <c r="Y51" s="168">
        <v>3.5</v>
      </c>
      <c r="Z51" s="155">
        <v>3.5</v>
      </c>
      <c r="AA51" s="155"/>
      <c r="AB51" s="160">
        <v>4</v>
      </c>
      <c r="AC51" s="155"/>
      <c r="AD51" s="155"/>
      <c r="AE51" s="155"/>
      <c r="AF51" s="169"/>
      <c r="AG51" s="160">
        <v>4</v>
      </c>
      <c r="AH51" s="170"/>
      <c r="AI51" s="170"/>
      <c r="AJ51" s="140"/>
      <c r="AK51" s="137"/>
      <c r="AL51" s="577" t="s">
        <v>471</v>
      </c>
      <c r="AM51" s="608" t="s">
        <v>146</v>
      </c>
      <c r="AN51" s="608" t="s">
        <v>146</v>
      </c>
      <c r="AO51" s="577" t="s">
        <v>180</v>
      </c>
      <c r="AP51" s="580" t="s">
        <v>441</v>
      </c>
    </row>
    <row r="52" spans="1:42" s="5" customFormat="1" ht="36" customHeight="1" x14ac:dyDescent="0.25">
      <c r="A52" s="665"/>
      <c r="B52" s="600"/>
      <c r="C52" s="622"/>
      <c r="D52" s="597"/>
      <c r="E52" s="597"/>
      <c r="F52" s="597"/>
      <c r="G52" s="138" t="s">
        <v>10</v>
      </c>
      <c r="H52" s="146">
        <f>K52+P52+U52+V52+AA52</f>
        <v>779232654.33333302</v>
      </c>
      <c r="I52" s="146"/>
      <c r="J52" s="213">
        <v>93426660</v>
      </c>
      <c r="K52" s="241">
        <v>36342167</v>
      </c>
      <c r="L52" s="146">
        <v>219556374</v>
      </c>
      <c r="M52" s="146">
        <v>219556374</v>
      </c>
      <c r="N52" s="146">
        <v>219556374</v>
      </c>
      <c r="O52" s="146">
        <v>219556374</v>
      </c>
      <c r="P52" s="156">
        <f>210284487.333333</f>
        <v>210284487.33333299</v>
      </c>
      <c r="Q52" s="146">
        <v>492281000</v>
      </c>
      <c r="R52" s="146">
        <v>492281000</v>
      </c>
      <c r="S52" s="146">
        <v>392281000</v>
      </c>
      <c r="T52" s="146">
        <v>324350724</v>
      </c>
      <c r="U52" s="146">
        <v>275840000</v>
      </c>
      <c r="V52" s="66">
        <v>256766000</v>
      </c>
      <c r="W52" s="146">
        <v>256766000</v>
      </c>
      <c r="X52" s="146">
        <v>256766000</v>
      </c>
      <c r="Y52" s="146">
        <v>214499925</v>
      </c>
      <c r="Z52" s="146">
        <v>211253000</v>
      </c>
      <c r="AA52" s="146"/>
      <c r="AB52" s="216">
        <v>394763000</v>
      </c>
      <c r="AC52" s="146"/>
      <c r="AD52" s="146"/>
      <c r="AE52" s="146"/>
      <c r="AF52" s="145"/>
      <c r="AG52" s="217">
        <v>52122017</v>
      </c>
      <c r="AH52" s="156"/>
      <c r="AI52" s="156"/>
      <c r="AJ52" s="140"/>
      <c r="AK52" s="144"/>
      <c r="AL52" s="578"/>
      <c r="AM52" s="609"/>
      <c r="AN52" s="609"/>
      <c r="AO52" s="578"/>
      <c r="AP52" s="581"/>
    </row>
    <row r="53" spans="1:42" s="5" customFormat="1" ht="40.5" customHeight="1" x14ac:dyDescent="0.25">
      <c r="A53" s="665"/>
      <c r="B53" s="600"/>
      <c r="C53" s="622"/>
      <c r="D53" s="597"/>
      <c r="E53" s="597"/>
      <c r="F53" s="597"/>
      <c r="G53" s="138" t="s">
        <v>11</v>
      </c>
      <c r="H53" s="171"/>
      <c r="I53" s="171"/>
      <c r="J53" s="171"/>
      <c r="K53" s="171"/>
      <c r="L53" s="70">
        <v>0.08</v>
      </c>
      <c r="M53" s="70">
        <v>0.08</v>
      </c>
      <c r="N53" s="70">
        <v>0.08</v>
      </c>
      <c r="O53" s="70">
        <v>0.08</v>
      </c>
      <c r="P53" s="173"/>
      <c r="Q53" s="171"/>
      <c r="R53" s="171"/>
      <c r="S53" s="171"/>
      <c r="T53" s="171"/>
      <c r="U53" s="171"/>
      <c r="V53" s="69"/>
      <c r="W53" s="129"/>
      <c r="X53" s="129"/>
      <c r="Y53" s="171"/>
      <c r="Z53" s="171"/>
      <c r="AA53" s="171"/>
      <c r="AB53" s="219"/>
      <c r="AC53" s="171"/>
      <c r="AD53" s="171"/>
      <c r="AE53" s="171"/>
      <c r="AF53" s="172"/>
      <c r="AG53" s="219"/>
      <c r="AH53" s="173"/>
      <c r="AI53" s="173"/>
      <c r="AJ53" s="140"/>
      <c r="AK53" s="144"/>
      <c r="AL53" s="578"/>
      <c r="AM53" s="609"/>
      <c r="AN53" s="609"/>
      <c r="AO53" s="578"/>
      <c r="AP53" s="581"/>
    </row>
    <row r="54" spans="1:42" s="5" customFormat="1" ht="33" customHeight="1" x14ac:dyDescent="0.25">
      <c r="A54" s="665"/>
      <c r="B54" s="600"/>
      <c r="C54" s="622"/>
      <c r="D54" s="597"/>
      <c r="E54" s="597"/>
      <c r="F54" s="597"/>
      <c r="G54" s="138" t="s">
        <v>12</v>
      </c>
      <c r="H54" s="175"/>
      <c r="I54" s="175"/>
      <c r="J54" s="175"/>
      <c r="K54" s="175"/>
      <c r="L54" s="175">
        <v>3726000</v>
      </c>
      <c r="M54" s="175">
        <v>3726000</v>
      </c>
      <c r="N54" s="175">
        <v>3726000</v>
      </c>
      <c r="O54" s="175">
        <v>3726000</v>
      </c>
      <c r="P54" s="156">
        <v>1215000</v>
      </c>
      <c r="Q54" s="146">
        <v>48780647</v>
      </c>
      <c r="R54" s="146">
        <v>48780647</v>
      </c>
      <c r="S54" s="146">
        <v>48780647</v>
      </c>
      <c r="T54" s="146">
        <v>48780647</v>
      </c>
      <c r="U54" s="175">
        <v>48402647</v>
      </c>
      <c r="V54" s="69">
        <v>155143334</v>
      </c>
      <c r="W54" s="174">
        <v>155143334</v>
      </c>
      <c r="X54" s="174">
        <v>155143334</v>
      </c>
      <c r="Y54" s="175">
        <v>155143334</v>
      </c>
      <c r="Z54" s="175">
        <v>144103668</v>
      </c>
      <c r="AA54" s="175"/>
      <c r="AB54" s="217">
        <v>22807635</v>
      </c>
      <c r="AC54" s="175"/>
      <c r="AD54" s="175"/>
      <c r="AE54" s="175"/>
      <c r="AF54" s="162"/>
      <c r="AG54" s="217">
        <v>22807635</v>
      </c>
      <c r="AH54" s="156"/>
      <c r="AI54" s="156"/>
      <c r="AJ54" s="140"/>
      <c r="AK54" s="144"/>
      <c r="AL54" s="578"/>
      <c r="AM54" s="609"/>
      <c r="AN54" s="609"/>
      <c r="AO54" s="578"/>
      <c r="AP54" s="581"/>
    </row>
    <row r="55" spans="1:42" s="5" customFormat="1" ht="36" customHeight="1" x14ac:dyDescent="0.25">
      <c r="A55" s="665"/>
      <c r="B55" s="600"/>
      <c r="C55" s="622"/>
      <c r="D55" s="597"/>
      <c r="E55" s="597"/>
      <c r="F55" s="597"/>
      <c r="G55" s="138" t="s">
        <v>13</v>
      </c>
      <c r="H55" s="176">
        <f>+H51</f>
        <v>4</v>
      </c>
      <c r="I55" s="176"/>
      <c r="J55" s="176"/>
      <c r="K55" s="70">
        <f>+K51</f>
        <v>0.4</v>
      </c>
      <c r="L55" s="156">
        <f t="shared" ref="L55:O56" si="14">+L51+L53</f>
        <v>1</v>
      </c>
      <c r="M55" s="156">
        <f t="shared" si="14"/>
        <v>1</v>
      </c>
      <c r="N55" s="156">
        <f t="shared" si="14"/>
        <v>1</v>
      </c>
      <c r="O55" s="156">
        <f t="shared" si="14"/>
        <v>1</v>
      </c>
      <c r="P55" s="125">
        <f>+P51+P53</f>
        <v>0.92</v>
      </c>
      <c r="Q55" s="176">
        <f>+Q51</f>
        <v>1.5</v>
      </c>
      <c r="R55" s="176">
        <f>+R51</f>
        <v>1.5</v>
      </c>
      <c r="S55" s="176">
        <v>1.5</v>
      </c>
      <c r="T55" s="176">
        <v>1.5</v>
      </c>
      <c r="U55" s="176">
        <v>1.5</v>
      </c>
      <c r="V55" s="70">
        <f>+V51</f>
        <v>3</v>
      </c>
      <c r="W55" s="176">
        <v>3.1</v>
      </c>
      <c r="X55" s="176">
        <v>3.5</v>
      </c>
      <c r="Y55" s="177">
        <v>3.5</v>
      </c>
      <c r="Z55" s="176">
        <v>3.5</v>
      </c>
      <c r="AA55" s="176"/>
      <c r="AB55" s="163">
        <v>4</v>
      </c>
      <c r="AC55" s="176"/>
      <c r="AD55" s="176"/>
      <c r="AE55" s="176"/>
      <c r="AF55" s="177"/>
      <c r="AG55" s="133">
        <v>4</v>
      </c>
      <c r="AH55" s="125"/>
      <c r="AI55" s="125"/>
      <c r="AJ55" s="140"/>
      <c r="AK55" s="144"/>
      <c r="AL55" s="578"/>
      <c r="AM55" s="609"/>
      <c r="AN55" s="609"/>
      <c r="AO55" s="578"/>
      <c r="AP55" s="581"/>
    </row>
    <row r="56" spans="1:42" s="5" customFormat="1" ht="49.5" customHeight="1" thickBot="1" x14ac:dyDescent="0.3">
      <c r="A56" s="665"/>
      <c r="B56" s="601"/>
      <c r="C56" s="623"/>
      <c r="D56" s="598"/>
      <c r="E56" s="598"/>
      <c r="F56" s="598"/>
      <c r="G56" s="148" t="s">
        <v>14</v>
      </c>
      <c r="H56" s="178">
        <f>+H52</f>
        <v>779232654.33333302</v>
      </c>
      <c r="I56" s="178"/>
      <c r="J56" s="178"/>
      <c r="K56" s="178">
        <v>36342167</v>
      </c>
      <c r="L56" s="178">
        <f t="shared" si="14"/>
        <v>223282374</v>
      </c>
      <c r="M56" s="178">
        <f t="shared" si="14"/>
        <v>223282374</v>
      </c>
      <c r="N56" s="178">
        <f t="shared" si="14"/>
        <v>223282374</v>
      </c>
      <c r="O56" s="178">
        <f t="shared" si="14"/>
        <v>223282374</v>
      </c>
      <c r="P56" s="150">
        <f>+P52+P54</f>
        <v>211499487.33333299</v>
      </c>
      <c r="Q56" s="178">
        <f>+Q52+Q54</f>
        <v>541061647</v>
      </c>
      <c r="R56" s="178">
        <f>+R52+R54</f>
        <v>541061647</v>
      </c>
      <c r="S56" s="178">
        <v>441061647</v>
      </c>
      <c r="T56" s="178">
        <v>373131371</v>
      </c>
      <c r="U56" s="178">
        <v>324242647</v>
      </c>
      <c r="V56" s="68">
        <f>+V52</f>
        <v>256766000</v>
      </c>
      <c r="W56" s="178">
        <v>256766000</v>
      </c>
      <c r="X56" s="178">
        <v>411909334</v>
      </c>
      <c r="Y56" s="178">
        <v>369643259</v>
      </c>
      <c r="Z56" s="178">
        <v>355356668</v>
      </c>
      <c r="AA56" s="178"/>
      <c r="AB56" s="228">
        <v>417570635</v>
      </c>
      <c r="AC56" s="178"/>
      <c r="AD56" s="178"/>
      <c r="AE56" s="178"/>
      <c r="AF56" s="159"/>
      <c r="AG56" s="228">
        <v>74929652</v>
      </c>
      <c r="AH56" s="150"/>
      <c r="AI56" s="150"/>
      <c r="AJ56" s="151"/>
      <c r="AK56" s="152"/>
      <c r="AL56" s="579"/>
      <c r="AM56" s="610"/>
      <c r="AN56" s="610"/>
      <c r="AO56" s="579"/>
      <c r="AP56" s="582"/>
    </row>
    <row r="57" spans="1:42" s="5" customFormat="1" ht="63.75" customHeight="1" x14ac:dyDescent="0.25">
      <c r="A57" s="665"/>
      <c r="B57" s="628">
        <v>9</v>
      </c>
      <c r="C57" s="626" t="s">
        <v>157</v>
      </c>
      <c r="D57" s="596" t="s">
        <v>112</v>
      </c>
      <c r="E57" s="596">
        <v>304</v>
      </c>
      <c r="F57" s="596">
        <v>17</v>
      </c>
      <c r="G57" s="134" t="s">
        <v>9</v>
      </c>
      <c r="H57" s="155">
        <v>260</v>
      </c>
      <c r="I57" s="155"/>
      <c r="J57" s="107">
        <v>4.17</v>
      </c>
      <c r="K57" s="65">
        <v>4.17</v>
      </c>
      <c r="L57" s="65">
        <v>46.61</v>
      </c>
      <c r="M57" s="65" t="s">
        <v>172</v>
      </c>
      <c r="N57" s="65" t="s">
        <v>172</v>
      </c>
      <c r="O57" s="65" t="s">
        <v>172</v>
      </c>
      <c r="P57" s="170">
        <v>46.61</v>
      </c>
      <c r="Q57" s="65">
        <v>48.61</v>
      </c>
      <c r="R57" s="65" t="s">
        <v>173</v>
      </c>
      <c r="S57" s="65">
        <v>48.61</v>
      </c>
      <c r="T57" s="65">
        <v>35.36</v>
      </c>
      <c r="U57" s="155">
        <v>38.28</v>
      </c>
      <c r="V57" s="65">
        <v>50</v>
      </c>
      <c r="W57" s="155">
        <v>50</v>
      </c>
      <c r="X57" s="155">
        <v>50</v>
      </c>
      <c r="Y57" s="155">
        <v>50</v>
      </c>
      <c r="Z57" s="155">
        <v>37.18</v>
      </c>
      <c r="AA57" s="65"/>
      <c r="AB57" s="160">
        <v>133.76</v>
      </c>
      <c r="AC57" s="65"/>
      <c r="AD57" s="65"/>
      <c r="AE57" s="155"/>
      <c r="AF57" s="179"/>
      <c r="AG57" s="160">
        <v>81.92</v>
      </c>
      <c r="AH57" s="170"/>
      <c r="AI57" s="170"/>
      <c r="AJ57" s="140"/>
      <c r="AK57" s="137"/>
      <c r="AL57" s="577" t="s">
        <v>442</v>
      </c>
      <c r="AM57" s="608" t="s">
        <v>443</v>
      </c>
      <c r="AN57" s="608" t="s">
        <v>444</v>
      </c>
      <c r="AO57" s="577" t="s">
        <v>445</v>
      </c>
      <c r="AP57" s="580" t="s">
        <v>446</v>
      </c>
    </row>
    <row r="58" spans="1:42" s="5" customFormat="1" ht="66.75" customHeight="1" thickBot="1" x14ac:dyDescent="0.3">
      <c r="A58" s="665"/>
      <c r="B58" s="619"/>
      <c r="C58" s="622"/>
      <c r="D58" s="597"/>
      <c r="E58" s="597"/>
      <c r="F58" s="597"/>
      <c r="G58" s="138" t="s">
        <v>10</v>
      </c>
      <c r="H58" s="146">
        <f>K58+P58+U58+V58+AA58</f>
        <v>4436210382</v>
      </c>
      <c r="I58" s="146"/>
      <c r="J58" s="213">
        <v>418367467</v>
      </c>
      <c r="K58" s="146">
        <v>418168127</v>
      </c>
      <c r="L58" s="146">
        <v>2425188255</v>
      </c>
      <c r="M58" s="146">
        <v>2425188255</v>
      </c>
      <c r="N58" s="146">
        <v>2425188255</v>
      </c>
      <c r="O58" s="146">
        <v>2425188255</v>
      </c>
      <c r="P58" s="156">
        <v>2425188255</v>
      </c>
      <c r="Q58" s="146">
        <v>922217000</v>
      </c>
      <c r="R58" s="146">
        <v>922217000</v>
      </c>
      <c r="S58" s="146">
        <v>980479000</v>
      </c>
      <c r="T58" s="146">
        <v>824474000</v>
      </c>
      <c r="U58" s="146">
        <v>282452000</v>
      </c>
      <c r="V58" s="66">
        <v>1310402000</v>
      </c>
      <c r="W58" s="146">
        <v>1310402000</v>
      </c>
      <c r="X58" s="146">
        <v>1190860560</v>
      </c>
      <c r="Y58" s="146">
        <v>759935668.00000012</v>
      </c>
      <c r="Z58" s="146">
        <v>735797483</v>
      </c>
      <c r="AA58" s="146"/>
      <c r="AB58" s="216">
        <v>1620152000</v>
      </c>
      <c r="AC58" s="146"/>
      <c r="AD58" s="146"/>
      <c r="AE58" s="146"/>
      <c r="AF58" s="145"/>
      <c r="AG58" s="217">
        <v>42202447</v>
      </c>
      <c r="AH58" s="156"/>
      <c r="AI58" s="156"/>
      <c r="AJ58" s="140"/>
      <c r="AK58" s="144"/>
      <c r="AL58" s="578"/>
      <c r="AM58" s="609"/>
      <c r="AN58" s="609"/>
      <c r="AO58" s="578"/>
      <c r="AP58" s="581"/>
    </row>
    <row r="59" spans="1:42" s="5" customFormat="1" ht="53.25" customHeight="1" x14ac:dyDescent="0.25">
      <c r="A59" s="665"/>
      <c r="B59" s="619"/>
      <c r="C59" s="622"/>
      <c r="D59" s="597"/>
      <c r="E59" s="597"/>
      <c r="F59" s="597"/>
      <c r="G59" s="138" t="s">
        <v>11</v>
      </c>
      <c r="H59" s="171"/>
      <c r="I59" s="171"/>
      <c r="J59" s="171"/>
      <c r="K59" s="171"/>
      <c r="L59" s="171"/>
      <c r="M59" s="171"/>
      <c r="N59" s="171"/>
      <c r="O59" s="171"/>
      <c r="P59" s="242"/>
      <c r="Q59" s="171"/>
      <c r="R59" s="171"/>
      <c r="S59" s="171"/>
      <c r="T59" s="171"/>
      <c r="U59" s="171"/>
      <c r="V59" s="69"/>
      <c r="W59" s="129"/>
      <c r="X59" s="129"/>
      <c r="Y59" s="171"/>
      <c r="Z59" s="171"/>
      <c r="AA59" s="171"/>
      <c r="AB59" s="219"/>
      <c r="AC59" s="171"/>
      <c r="AD59" s="171"/>
      <c r="AE59" s="171"/>
      <c r="AF59" s="180"/>
      <c r="AG59" s="219"/>
      <c r="AH59" s="242"/>
      <c r="AI59" s="242"/>
      <c r="AJ59" s="140"/>
      <c r="AK59" s="144"/>
      <c r="AL59" s="578"/>
      <c r="AM59" s="609"/>
      <c r="AN59" s="609"/>
      <c r="AO59" s="578"/>
      <c r="AP59" s="581"/>
    </row>
    <row r="60" spans="1:42" s="5" customFormat="1" ht="62.25" customHeight="1" thickBot="1" x14ac:dyDescent="0.3">
      <c r="A60" s="665"/>
      <c r="B60" s="619"/>
      <c r="C60" s="622"/>
      <c r="D60" s="597"/>
      <c r="E60" s="597"/>
      <c r="F60" s="597"/>
      <c r="G60" s="138" t="s">
        <v>12</v>
      </c>
      <c r="H60" s="171"/>
      <c r="I60" s="171"/>
      <c r="J60" s="171"/>
      <c r="K60" s="171"/>
      <c r="L60" s="225">
        <v>372465826</v>
      </c>
      <c r="M60" s="225">
        <v>372465826</v>
      </c>
      <c r="N60" s="225">
        <v>372465826</v>
      </c>
      <c r="O60" s="225">
        <v>372465826</v>
      </c>
      <c r="P60" s="156">
        <v>372465826</v>
      </c>
      <c r="Q60" s="156">
        <v>1359140800</v>
      </c>
      <c r="R60" s="156">
        <v>1359140800</v>
      </c>
      <c r="S60" s="156">
        <v>1359140800</v>
      </c>
      <c r="T60" s="156">
        <v>1359140800</v>
      </c>
      <c r="U60" s="171">
        <v>215383280</v>
      </c>
      <c r="V60" s="66">
        <v>73979001</v>
      </c>
      <c r="W60" s="129">
        <v>73979001</v>
      </c>
      <c r="X60" s="129">
        <v>73979001</v>
      </c>
      <c r="Y60" s="181">
        <v>73979001</v>
      </c>
      <c r="Z60" s="171">
        <v>63212022</v>
      </c>
      <c r="AA60" s="171"/>
      <c r="AB60" s="217">
        <v>480490507</v>
      </c>
      <c r="AC60" s="171"/>
      <c r="AD60" s="171"/>
      <c r="AE60" s="171"/>
      <c r="AF60" s="162"/>
      <c r="AG60" s="217">
        <v>65188734</v>
      </c>
      <c r="AH60" s="156"/>
      <c r="AI60" s="156"/>
      <c r="AJ60" s="140"/>
      <c r="AK60" s="144"/>
      <c r="AL60" s="578"/>
      <c r="AM60" s="609"/>
      <c r="AN60" s="609"/>
      <c r="AO60" s="578"/>
      <c r="AP60" s="581"/>
    </row>
    <row r="61" spans="1:42" s="5" customFormat="1" ht="54.75" customHeight="1" x14ac:dyDescent="0.25">
      <c r="A61" s="665"/>
      <c r="B61" s="619"/>
      <c r="C61" s="622"/>
      <c r="D61" s="597"/>
      <c r="E61" s="597"/>
      <c r="F61" s="597"/>
      <c r="G61" s="138" t="s">
        <v>13</v>
      </c>
      <c r="H61" s="176">
        <f>+H57</f>
        <v>260</v>
      </c>
      <c r="I61" s="176"/>
      <c r="J61" s="176">
        <f>+J57</f>
        <v>4.17</v>
      </c>
      <c r="K61" s="70">
        <f t="shared" ref="K61:P61" si="15">+K57</f>
        <v>4.17</v>
      </c>
      <c r="L61" s="70">
        <f t="shared" si="15"/>
        <v>46.61</v>
      </c>
      <c r="M61" s="70" t="str">
        <f t="shared" si="15"/>
        <v>46.61</v>
      </c>
      <c r="N61" s="70" t="str">
        <f t="shared" si="15"/>
        <v>46.61</v>
      </c>
      <c r="O61" s="70" t="str">
        <f t="shared" si="15"/>
        <v>46.61</v>
      </c>
      <c r="P61" s="125">
        <f t="shared" si="15"/>
        <v>46.61</v>
      </c>
      <c r="Q61" s="70">
        <f>+Q57</f>
        <v>48.61</v>
      </c>
      <c r="R61" s="70" t="str">
        <f>+R57</f>
        <v>48.61</v>
      </c>
      <c r="S61" s="70">
        <v>48.61</v>
      </c>
      <c r="T61" s="70">
        <v>35.36</v>
      </c>
      <c r="U61" s="176"/>
      <c r="V61" s="70">
        <f>+V57</f>
        <v>50</v>
      </c>
      <c r="W61" s="176">
        <v>50</v>
      </c>
      <c r="X61" s="176">
        <v>50</v>
      </c>
      <c r="Y61" s="176">
        <v>50</v>
      </c>
      <c r="Z61" s="176">
        <v>37.18</v>
      </c>
      <c r="AA61" s="65"/>
      <c r="AB61" s="163">
        <v>133.76</v>
      </c>
      <c r="AC61" s="70"/>
      <c r="AD61" s="70"/>
      <c r="AE61" s="176"/>
      <c r="AF61" s="182"/>
      <c r="AG61" s="133"/>
      <c r="AH61" s="125"/>
      <c r="AI61" s="125"/>
      <c r="AJ61" s="140"/>
      <c r="AK61" s="144"/>
      <c r="AL61" s="578"/>
      <c r="AM61" s="609"/>
      <c r="AN61" s="609"/>
      <c r="AO61" s="578"/>
      <c r="AP61" s="581"/>
    </row>
    <row r="62" spans="1:42" s="5" customFormat="1" ht="63.75" customHeight="1" thickBot="1" x14ac:dyDescent="0.3">
      <c r="A62" s="665"/>
      <c r="B62" s="629"/>
      <c r="C62" s="623"/>
      <c r="D62" s="598"/>
      <c r="E62" s="598"/>
      <c r="F62" s="598"/>
      <c r="G62" s="148" t="s">
        <v>14</v>
      </c>
      <c r="H62" s="178">
        <f>+H58</f>
        <v>4436210382</v>
      </c>
      <c r="I62" s="178"/>
      <c r="J62" s="178">
        <f>+J58</f>
        <v>418367467</v>
      </c>
      <c r="K62" s="178">
        <f>+K58</f>
        <v>418168127</v>
      </c>
      <c r="L62" s="178">
        <f t="shared" ref="L62:Q62" si="16">+L58+L60</f>
        <v>2797654081</v>
      </c>
      <c r="M62" s="178">
        <f t="shared" si="16"/>
        <v>2797654081</v>
      </c>
      <c r="N62" s="178">
        <f t="shared" si="16"/>
        <v>2797654081</v>
      </c>
      <c r="O62" s="178">
        <f t="shared" si="16"/>
        <v>2797654081</v>
      </c>
      <c r="P62" s="150">
        <f t="shared" si="16"/>
        <v>2797654081</v>
      </c>
      <c r="Q62" s="178">
        <f t="shared" si="16"/>
        <v>2281357800</v>
      </c>
      <c r="R62" s="178">
        <f>+R58+R60</f>
        <v>2281357800</v>
      </c>
      <c r="S62" s="178">
        <v>2339619800</v>
      </c>
      <c r="T62" s="178">
        <v>2183614800</v>
      </c>
      <c r="U62" s="178">
        <v>497835280</v>
      </c>
      <c r="V62" s="68">
        <f>+V58+V60</f>
        <v>1384381001</v>
      </c>
      <c r="W62" s="178">
        <v>1384381001</v>
      </c>
      <c r="X62" s="178">
        <v>1264839561</v>
      </c>
      <c r="Y62" s="178">
        <v>833914669.00000012</v>
      </c>
      <c r="Z62" s="178">
        <v>799009505</v>
      </c>
      <c r="AA62" s="146"/>
      <c r="AB62" s="228">
        <v>2100642507</v>
      </c>
      <c r="AC62" s="178"/>
      <c r="AD62" s="178"/>
      <c r="AE62" s="178"/>
      <c r="AF62" s="159"/>
      <c r="AG62" s="228"/>
      <c r="AH62" s="150"/>
      <c r="AI62" s="150"/>
      <c r="AJ62" s="151"/>
      <c r="AK62" s="152"/>
      <c r="AL62" s="579"/>
      <c r="AM62" s="610"/>
      <c r="AN62" s="610"/>
      <c r="AO62" s="579"/>
      <c r="AP62" s="582"/>
    </row>
    <row r="63" spans="1:42" s="5" customFormat="1" ht="45" customHeight="1" x14ac:dyDescent="0.25">
      <c r="A63" s="665"/>
      <c r="B63" s="599">
        <v>10</v>
      </c>
      <c r="C63" s="626" t="s">
        <v>158</v>
      </c>
      <c r="D63" s="596" t="s">
        <v>114</v>
      </c>
      <c r="E63" s="596">
        <v>304</v>
      </c>
      <c r="F63" s="596">
        <v>179</v>
      </c>
      <c r="G63" s="134" t="s">
        <v>9</v>
      </c>
      <c r="H63" s="155">
        <v>520</v>
      </c>
      <c r="I63" s="155"/>
      <c r="J63" s="155">
        <v>120</v>
      </c>
      <c r="K63" s="155">
        <v>114</v>
      </c>
      <c r="L63" s="65">
        <v>218.97</v>
      </c>
      <c r="M63" s="65" t="s">
        <v>174</v>
      </c>
      <c r="N63" s="65" t="s">
        <v>174</v>
      </c>
      <c r="O63" s="65" t="s">
        <v>174</v>
      </c>
      <c r="P63" s="183">
        <f>66.47+122.5+30</f>
        <v>218.97</v>
      </c>
      <c r="Q63" s="155">
        <v>250</v>
      </c>
      <c r="R63" s="155">
        <v>250</v>
      </c>
      <c r="S63" s="155">
        <v>250</v>
      </c>
      <c r="T63" s="155">
        <v>252.14</v>
      </c>
      <c r="U63" s="155">
        <v>254.9</v>
      </c>
      <c r="V63" s="65">
        <v>466.9</v>
      </c>
      <c r="W63" s="155">
        <v>272.89999999999998</v>
      </c>
      <c r="X63" s="155">
        <v>272.89999999999998</v>
      </c>
      <c r="Y63" s="65">
        <v>272.89999999999998</v>
      </c>
      <c r="Z63" s="155">
        <v>266.83099999999996</v>
      </c>
      <c r="AA63" s="155"/>
      <c r="AB63" s="160">
        <v>520</v>
      </c>
      <c r="AC63" s="155"/>
      <c r="AD63" s="155"/>
      <c r="AE63" s="155"/>
      <c r="AF63" s="179"/>
      <c r="AG63" s="160">
        <v>414.87</v>
      </c>
      <c r="AH63" s="183"/>
      <c r="AI63" s="183"/>
      <c r="AJ63" s="140"/>
      <c r="AK63" s="137"/>
      <c r="AL63" s="577" t="s">
        <v>472</v>
      </c>
      <c r="AM63" s="608" t="s">
        <v>447</v>
      </c>
      <c r="AN63" s="608" t="s">
        <v>448</v>
      </c>
      <c r="AO63" s="577" t="s">
        <v>147</v>
      </c>
      <c r="AP63" s="580" t="s">
        <v>449</v>
      </c>
    </row>
    <row r="64" spans="1:42" s="5" customFormat="1" ht="36" customHeight="1" x14ac:dyDescent="0.25">
      <c r="A64" s="665"/>
      <c r="B64" s="600"/>
      <c r="C64" s="622"/>
      <c r="D64" s="597"/>
      <c r="E64" s="597"/>
      <c r="F64" s="597"/>
      <c r="G64" s="138" t="s">
        <v>10</v>
      </c>
      <c r="H64" s="146">
        <f>K64+P64+U64+V64+AA64</f>
        <v>3011909829</v>
      </c>
      <c r="I64" s="146"/>
      <c r="J64" s="146">
        <v>218966666</v>
      </c>
      <c r="K64" s="146">
        <v>100666667</v>
      </c>
      <c r="L64" s="146">
        <v>1134841270</v>
      </c>
      <c r="M64" s="146">
        <v>1134841270</v>
      </c>
      <c r="N64" s="146">
        <v>1134841270</v>
      </c>
      <c r="O64" s="146">
        <v>1134841270</v>
      </c>
      <c r="P64" s="156">
        <v>968164162</v>
      </c>
      <c r="Q64" s="156">
        <v>1035025000</v>
      </c>
      <c r="R64" s="156">
        <v>1035025000</v>
      </c>
      <c r="S64" s="156">
        <v>1075496333</v>
      </c>
      <c r="T64" s="156">
        <v>1069403333</v>
      </c>
      <c r="U64" s="146">
        <v>1037500000</v>
      </c>
      <c r="V64" s="66">
        <v>905579000</v>
      </c>
      <c r="W64" s="146">
        <v>899958276</v>
      </c>
      <c r="X64" s="146">
        <v>899958276</v>
      </c>
      <c r="Y64" s="146">
        <v>947201629</v>
      </c>
      <c r="Z64" s="146">
        <v>834264852</v>
      </c>
      <c r="AA64" s="146"/>
      <c r="AB64" s="216">
        <v>813928000</v>
      </c>
      <c r="AC64" s="146"/>
      <c r="AD64" s="146"/>
      <c r="AE64" s="146"/>
      <c r="AF64" s="156"/>
      <c r="AG64" s="217">
        <v>194902268</v>
      </c>
      <c r="AH64" s="156"/>
      <c r="AI64" s="156"/>
      <c r="AJ64" s="140"/>
      <c r="AK64" s="144"/>
      <c r="AL64" s="578"/>
      <c r="AM64" s="609"/>
      <c r="AN64" s="609"/>
      <c r="AO64" s="578"/>
      <c r="AP64" s="581"/>
    </row>
    <row r="65" spans="1:42" s="5" customFormat="1" ht="40.5" customHeight="1" x14ac:dyDescent="0.25">
      <c r="A65" s="665"/>
      <c r="B65" s="600"/>
      <c r="C65" s="622"/>
      <c r="D65" s="597"/>
      <c r="E65" s="597"/>
      <c r="F65" s="597"/>
      <c r="G65" s="138" t="s">
        <v>11</v>
      </c>
      <c r="H65" s="171"/>
      <c r="I65" s="171"/>
      <c r="J65" s="171"/>
      <c r="K65" s="171"/>
      <c r="L65" s="171"/>
      <c r="M65" s="171"/>
      <c r="N65" s="171"/>
      <c r="O65" s="171"/>
      <c r="P65" s="186"/>
      <c r="Q65" s="171"/>
      <c r="R65" s="171"/>
      <c r="S65" s="171"/>
      <c r="T65" s="171"/>
      <c r="U65" s="171"/>
      <c r="V65" s="184"/>
      <c r="W65" s="129"/>
      <c r="X65" s="129"/>
      <c r="Y65" s="171"/>
      <c r="Z65" s="171"/>
      <c r="AA65" s="171"/>
      <c r="AB65" s="219"/>
      <c r="AC65" s="171"/>
      <c r="AD65" s="171"/>
      <c r="AE65" s="171"/>
      <c r="AF65" s="185"/>
      <c r="AG65" s="219"/>
      <c r="AH65" s="186"/>
      <c r="AI65" s="186"/>
      <c r="AJ65" s="140"/>
      <c r="AK65" s="144"/>
      <c r="AL65" s="578"/>
      <c r="AM65" s="609"/>
      <c r="AN65" s="609"/>
      <c r="AO65" s="578"/>
      <c r="AP65" s="581"/>
    </row>
    <row r="66" spans="1:42" s="5" customFormat="1" ht="33" customHeight="1" x14ac:dyDescent="0.25">
      <c r="A66" s="665"/>
      <c r="B66" s="600"/>
      <c r="C66" s="622"/>
      <c r="D66" s="597"/>
      <c r="E66" s="597"/>
      <c r="F66" s="597"/>
      <c r="G66" s="138" t="s">
        <v>12</v>
      </c>
      <c r="H66" s="175"/>
      <c r="I66" s="175"/>
      <c r="J66" s="175"/>
      <c r="K66" s="175"/>
      <c r="L66" s="175">
        <v>24543210</v>
      </c>
      <c r="M66" s="175">
        <v>24543210</v>
      </c>
      <c r="N66" s="175">
        <v>24543210</v>
      </c>
      <c r="O66" s="175">
        <v>24543210</v>
      </c>
      <c r="P66" s="156">
        <v>24543210</v>
      </c>
      <c r="Q66" s="156">
        <v>473939296</v>
      </c>
      <c r="R66" s="156">
        <v>473939296</v>
      </c>
      <c r="S66" s="156">
        <v>473939296</v>
      </c>
      <c r="T66" s="156">
        <v>473939296</v>
      </c>
      <c r="U66" s="175">
        <v>402019593</v>
      </c>
      <c r="V66" s="187">
        <v>639424723.33333302</v>
      </c>
      <c r="W66" s="174">
        <v>639424723.33333302</v>
      </c>
      <c r="X66" s="174">
        <v>639424723.33333302</v>
      </c>
      <c r="Y66" s="175">
        <v>639424723</v>
      </c>
      <c r="Z66" s="175">
        <v>639424723</v>
      </c>
      <c r="AA66" s="175"/>
      <c r="AB66" s="217">
        <v>357705482</v>
      </c>
      <c r="AC66" s="175"/>
      <c r="AD66" s="175"/>
      <c r="AE66" s="175"/>
      <c r="AF66" s="162"/>
      <c r="AG66" s="217">
        <v>147983989</v>
      </c>
      <c r="AH66" s="156"/>
      <c r="AI66" s="156"/>
      <c r="AJ66" s="140"/>
      <c r="AK66" s="144"/>
      <c r="AL66" s="578"/>
      <c r="AM66" s="609"/>
      <c r="AN66" s="609"/>
      <c r="AO66" s="578"/>
      <c r="AP66" s="581"/>
    </row>
    <row r="67" spans="1:42" s="5" customFormat="1" ht="36" customHeight="1" x14ac:dyDescent="0.25">
      <c r="A67" s="665"/>
      <c r="B67" s="600"/>
      <c r="C67" s="622"/>
      <c r="D67" s="597"/>
      <c r="E67" s="597"/>
      <c r="F67" s="597"/>
      <c r="G67" s="138" t="s">
        <v>13</v>
      </c>
      <c r="H67" s="176">
        <f>+H63</f>
        <v>520</v>
      </c>
      <c r="I67" s="176"/>
      <c r="J67" s="176">
        <v>120</v>
      </c>
      <c r="K67" s="176">
        <f>+K63</f>
        <v>114</v>
      </c>
      <c r="L67" s="70">
        <f>+L63</f>
        <v>218.97</v>
      </c>
      <c r="M67" s="70" t="str">
        <f>+M63</f>
        <v>218.97</v>
      </c>
      <c r="N67" s="70" t="str">
        <f>+N63</f>
        <v>218.97</v>
      </c>
      <c r="O67" s="70" t="str">
        <f>+O63</f>
        <v>218.97</v>
      </c>
      <c r="P67" s="173">
        <f>+P63+P65</f>
        <v>218.97</v>
      </c>
      <c r="Q67" s="176">
        <f>+Q63</f>
        <v>250</v>
      </c>
      <c r="R67" s="176">
        <f>+R63</f>
        <v>250</v>
      </c>
      <c r="S67" s="176">
        <v>250</v>
      </c>
      <c r="T67" s="176">
        <v>252.14</v>
      </c>
      <c r="U67" s="176">
        <v>254.9</v>
      </c>
      <c r="V67" s="70">
        <f t="shared" ref="V67" si="17">+V63</f>
        <v>466.9</v>
      </c>
      <c r="W67" s="176">
        <v>272.89999999999998</v>
      </c>
      <c r="X67" s="176">
        <v>272.89999999999998</v>
      </c>
      <c r="Y67" s="70">
        <v>272.89999999999998</v>
      </c>
      <c r="Z67" s="176">
        <v>266.83099999999996</v>
      </c>
      <c r="AA67" s="176"/>
      <c r="AB67" s="163">
        <v>520</v>
      </c>
      <c r="AC67" s="176"/>
      <c r="AD67" s="176"/>
      <c r="AE67" s="176"/>
      <c r="AF67" s="182"/>
      <c r="AG67" s="133">
        <v>414.87</v>
      </c>
      <c r="AH67" s="173"/>
      <c r="AI67" s="173"/>
      <c r="AJ67" s="140"/>
      <c r="AK67" s="144"/>
      <c r="AL67" s="578"/>
      <c r="AM67" s="609"/>
      <c r="AN67" s="609"/>
      <c r="AO67" s="578"/>
      <c r="AP67" s="581"/>
    </row>
    <row r="68" spans="1:42" s="5" customFormat="1" ht="49.5" customHeight="1" thickBot="1" x14ac:dyDescent="0.3">
      <c r="A68" s="665"/>
      <c r="B68" s="601"/>
      <c r="C68" s="623"/>
      <c r="D68" s="598"/>
      <c r="E68" s="598"/>
      <c r="F68" s="598"/>
      <c r="G68" s="148" t="s">
        <v>14</v>
      </c>
      <c r="H68" s="178">
        <f>+H64</f>
        <v>3011909829</v>
      </c>
      <c r="I68" s="178"/>
      <c r="J68" s="178">
        <v>21900000</v>
      </c>
      <c r="K68" s="178">
        <f>+K64</f>
        <v>100666667</v>
      </c>
      <c r="L68" s="178">
        <f>+L64+L66</f>
        <v>1159384480</v>
      </c>
      <c r="M68" s="178">
        <f>+M64+M66</f>
        <v>1159384480</v>
      </c>
      <c r="N68" s="178">
        <f>+N64+N66</f>
        <v>1159384480</v>
      </c>
      <c r="O68" s="178">
        <f>+O64+O66</f>
        <v>1159384480</v>
      </c>
      <c r="P68" s="150">
        <f>+P64+P66</f>
        <v>992707372</v>
      </c>
      <c r="Q68" s="178">
        <f>+Q64+Q66</f>
        <v>1508964296</v>
      </c>
      <c r="R68" s="178">
        <f>+R64+R66</f>
        <v>1508964296</v>
      </c>
      <c r="S68" s="178">
        <v>1549435629</v>
      </c>
      <c r="T68" s="178">
        <v>1543342629</v>
      </c>
      <c r="U68" s="178">
        <v>1439519593</v>
      </c>
      <c r="V68" s="68">
        <f t="shared" ref="V68" si="18">+V64+V66</f>
        <v>1545003723.333333</v>
      </c>
      <c r="W68" s="178">
        <v>1539382999.333333</v>
      </c>
      <c r="X68" s="178">
        <v>1539382999.333333</v>
      </c>
      <c r="Y68" s="178">
        <v>1586626352</v>
      </c>
      <c r="Z68" s="178">
        <v>1473689575</v>
      </c>
      <c r="AA68" s="178"/>
      <c r="AB68" s="228">
        <v>1171633482</v>
      </c>
      <c r="AC68" s="178"/>
      <c r="AD68" s="178"/>
      <c r="AE68" s="178"/>
      <c r="AF68" s="159"/>
      <c r="AG68" s="228">
        <v>342886257</v>
      </c>
      <c r="AH68" s="150"/>
      <c r="AI68" s="150"/>
      <c r="AJ68" s="151"/>
      <c r="AK68" s="152"/>
      <c r="AL68" s="579"/>
      <c r="AM68" s="610"/>
      <c r="AN68" s="610"/>
      <c r="AO68" s="579"/>
      <c r="AP68" s="582"/>
    </row>
    <row r="69" spans="1:42" s="5" customFormat="1" ht="63.75" customHeight="1" thickBot="1" x14ac:dyDescent="0.3">
      <c r="A69" s="665"/>
      <c r="B69" s="628">
        <v>11</v>
      </c>
      <c r="C69" s="626" t="s">
        <v>159</v>
      </c>
      <c r="D69" s="596" t="s">
        <v>114</v>
      </c>
      <c r="E69" s="596">
        <v>311</v>
      </c>
      <c r="F69" s="596">
        <v>182</v>
      </c>
      <c r="G69" s="134" t="s">
        <v>9</v>
      </c>
      <c r="H69" s="155">
        <v>5</v>
      </c>
      <c r="I69" s="155"/>
      <c r="J69" s="155">
        <v>3</v>
      </c>
      <c r="K69" s="155">
        <v>3</v>
      </c>
      <c r="L69" s="65">
        <v>3.5</v>
      </c>
      <c r="M69" s="65" t="s">
        <v>175</v>
      </c>
      <c r="N69" s="65" t="s">
        <v>175</v>
      </c>
      <c r="O69" s="65" t="s">
        <v>175</v>
      </c>
      <c r="P69" s="170">
        <v>3.5</v>
      </c>
      <c r="Q69" s="155">
        <v>4</v>
      </c>
      <c r="R69" s="155">
        <v>4</v>
      </c>
      <c r="S69" s="155">
        <v>4</v>
      </c>
      <c r="T69" s="155">
        <v>4</v>
      </c>
      <c r="U69" s="155">
        <v>4</v>
      </c>
      <c r="V69" s="65">
        <v>4.5</v>
      </c>
      <c r="W69" s="65">
        <v>4.5</v>
      </c>
      <c r="X69" s="65">
        <v>4.5</v>
      </c>
      <c r="Y69" s="65">
        <v>4.5</v>
      </c>
      <c r="Z69" s="155">
        <v>4.5</v>
      </c>
      <c r="AA69" s="155"/>
      <c r="AB69" s="160">
        <v>5</v>
      </c>
      <c r="AC69" s="155"/>
      <c r="AD69" s="155"/>
      <c r="AE69" s="155"/>
      <c r="AF69" s="65"/>
      <c r="AG69" s="160">
        <v>4.5</v>
      </c>
      <c r="AH69" s="170"/>
      <c r="AI69" s="170"/>
      <c r="AJ69" s="136"/>
      <c r="AK69" s="137"/>
      <c r="AL69" s="577" t="s">
        <v>450</v>
      </c>
      <c r="AM69" s="577" t="s">
        <v>451</v>
      </c>
      <c r="AN69" s="577" t="s">
        <v>452</v>
      </c>
      <c r="AO69" s="577" t="s">
        <v>453</v>
      </c>
      <c r="AP69" s="580" t="s">
        <v>454</v>
      </c>
    </row>
    <row r="70" spans="1:42" s="5" customFormat="1" ht="66.75" customHeight="1" x14ac:dyDescent="0.25">
      <c r="A70" s="665"/>
      <c r="B70" s="619"/>
      <c r="C70" s="622"/>
      <c r="D70" s="597"/>
      <c r="E70" s="597"/>
      <c r="F70" s="597"/>
      <c r="G70" s="138" t="s">
        <v>10</v>
      </c>
      <c r="H70" s="146">
        <f>K70+P70+U70+V70+AA70</f>
        <v>8435715482</v>
      </c>
      <c r="I70" s="146"/>
      <c r="J70" s="146">
        <v>475946271</v>
      </c>
      <c r="K70" s="146">
        <v>86185680</v>
      </c>
      <c r="L70" s="146">
        <v>3679449742</v>
      </c>
      <c r="M70" s="146">
        <v>3679449742</v>
      </c>
      <c r="N70" s="146">
        <v>3679449742</v>
      </c>
      <c r="O70" s="146">
        <v>3679449742</v>
      </c>
      <c r="P70" s="156">
        <v>3372253485</v>
      </c>
      <c r="Q70" s="146">
        <v>3156651000</v>
      </c>
      <c r="R70" s="146">
        <v>3156651000</v>
      </c>
      <c r="S70" s="146">
        <v>2800062493</v>
      </c>
      <c r="T70" s="146">
        <v>2770922493</v>
      </c>
      <c r="U70" s="146">
        <v>2444562317</v>
      </c>
      <c r="V70" s="66">
        <v>2532714000</v>
      </c>
      <c r="W70" s="146">
        <v>2470571076</v>
      </c>
      <c r="X70" s="146">
        <v>2470571076</v>
      </c>
      <c r="Y70" s="146">
        <v>2579211592</v>
      </c>
      <c r="Z70" s="146">
        <v>2300425885</v>
      </c>
      <c r="AA70" s="146"/>
      <c r="AB70" s="216">
        <v>2792636070</v>
      </c>
      <c r="AC70" s="146"/>
      <c r="AD70" s="146"/>
      <c r="AE70" s="146"/>
      <c r="AF70" s="162"/>
      <c r="AG70" s="217">
        <v>1431686981</v>
      </c>
      <c r="AH70" s="156"/>
      <c r="AI70" s="156"/>
      <c r="AJ70" s="136"/>
      <c r="AK70" s="144"/>
      <c r="AL70" s="578"/>
      <c r="AM70" s="651"/>
      <c r="AN70" s="651"/>
      <c r="AO70" s="578"/>
      <c r="AP70" s="581"/>
    </row>
    <row r="71" spans="1:42" s="5" customFormat="1" ht="53.25" customHeight="1" x14ac:dyDescent="0.25">
      <c r="A71" s="665"/>
      <c r="B71" s="619"/>
      <c r="C71" s="622"/>
      <c r="D71" s="597"/>
      <c r="E71" s="597"/>
      <c r="F71" s="597"/>
      <c r="G71" s="138" t="s">
        <v>11</v>
      </c>
      <c r="H71" s="171"/>
      <c r="I71" s="171"/>
      <c r="J71" s="171"/>
      <c r="K71" s="171"/>
      <c r="L71" s="171"/>
      <c r="M71" s="171"/>
      <c r="N71" s="171"/>
      <c r="O71" s="171"/>
      <c r="P71" s="243"/>
      <c r="Q71" s="171"/>
      <c r="R71" s="171"/>
      <c r="S71" s="171"/>
      <c r="T71" s="171"/>
      <c r="U71" s="171"/>
      <c r="V71" s="69"/>
      <c r="W71" s="129"/>
      <c r="X71" s="129"/>
      <c r="Y71" s="171"/>
      <c r="Z71" s="171"/>
      <c r="AA71" s="171"/>
      <c r="AB71" s="219"/>
      <c r="AC71" s="171"/>
      <c r="AD71" s="171"/>
      <c r="AE71" s="171"/>
      <c r="AF71" s="172"/>
      <c r="AG71" s="219"/>
      <c r="AH71" s="243"/>
      <c r="AI71" s="243"/>
      <c r="AJ71" s="140"/>
      <c r="AK71" s="144"/>
      <c r="AL71" s="578"/>
      <c r="AM71" s="651"/>
      <c r="AN71" s="651"/>
      <c r="AO71" s="578"/>
      <c r="AP71" s="581"/>
    </row>
    <row r="72" spans="1:42" s="5" customFormat="1" ht="62.25" customHeight="1" x14ac:dyDescent="0.25">
      <c r="A72" s="665"/>
      <c r="B72" s="619"/>
      <c r="C72" s="622"/>
      <c r="D72" s="597"/>
      <c r="E72" s="597"/>
      <c r="F72" s="597"/>
      <c r="G72" s="138" t="s">
        <v>12</v>
      </c>
      <c r="H72" s="225"/>
      <c r="I72" s="171"/>
      <c r="J72" s="171"/>
      <c r="K72" s="171"/>
      <c r="L72" s="225">
        <v>88683455</v>
      </c>
      <c r="M72" s="225">
        <v>88683455</v>
      </c>
      <c r="N72" s="225">
        <v>88683455</v>
      </c>
      <c r="O72" s="225">
        <v>88683455</v>
      </c>
      <c r="P72" s="156">
        <f>91030817-2347362</f>
        <v>88683455</v>
      </c>
      <c r="Q72" s="156">
        <v>603665463</v>
      </c>
      <c r="R72" s="156">
        <v>603665463</v>
      </c>
      <c r="S72" s="156">
        <v>603665463</v>
      </c>
      <c r="T72" s="156">
        <v>603665463</v>
      </c>
      <c r="U72" s="171">
        <v>387056742</v>
      </c>
      <c r="V72" s="66">
        <v>1129337944</v>
      </c>
      <c r="W72" s="129">
        <v>1129337944</v>
      </c>
      <c r="X72" s="129">
        <v>1129337944</v>
      </c>
      <c r="Y72" s="181">
        <v>1120211931</v>
      </c>
      <c r="Z72" s="171">
        <v>1027699621</v>
      </c>
      <c r="AA72" s="171"/>
      <c r="AB72" s="217">
        <v>688685442.33333337</v>
      </c>
      <c r="AC72" s="171"/>
      <c r="AD72" s="171"/>
      <c r="AE72" s="171"/>
      <c r="AF72" s="225"/>
      <c r="AG72" s="217">
        <v>676241218</v>
      </c>
      <c r="AH72" s="156"/>
      <c r="AI72" s="156"/>
      <c r="AJ72" s="140"/>
      <c r="AK72" s="144"/>
      <c r="AL72" s="578"/>
      <c r="AM72" s="651"/>
      <c r="AN72" s="651"/>
      <c r="AO72" s="578"/>
      <c r="AP72" s="581"/>
    </row>
    <row r="73" spans="1:42" s="5" customFormat="1" ht="54.75" customHeight="1" x14ac:dyDescent="0.25">
      <c r="A73" s="665"/>
      <c r="B73" s="619"/>
      <c r="C73" s="622"/>
      <c r="D73" s="597"/>
      <c r="E73" s="597"/>
      <c r="F73" s="597"/>
      <c r="G73" s="138" t="s">
        <v>13</v>
      </c>
      <c r="H73" s="176">
        <f>+H69</f>
        <v>5</v>
      </c>
      <c r="I73" s="176"/>
      <c r="J73" s="221">
        <v>3</v>
      </c>
      <c r="K73" s="176">
        <f>+K69</f>
        <v>3</v>
      </c>
      <c r="L73" s="70">
        <f>+L69</f>
        <v>3.5</v>
      </c>
      <c r="M73" s="176" t="str">
        <f>+M69</f>
        <v>3.5</v>
      </c>
      <c r="N73" s="176" t="str">
        <f>+N69</f>
        <v>3.5</v>
      </c>
      <c r="O73" s="176" t="str">
        <f>+O69</f>
        <v>3.5</v>
      </c>
      <c r="P73" s="125">
        <f>+P69+P71</f>
        <v>3.5</v>
      </c>
      <c r="Q73" s="176">
        <f>+Q69</f>
        <v>4</v>
      </c>
      <c r="R73" s="176">
        <f>+R69</f>
        <v>4</v>
      </c>
      <c r="S73" s="176">
        <v>4</v>
      </c>
      <c r="T73" s="176">
        <v>4</v>
      </c>
      <c r="U73" s="176">
        <v>4</v>
      </c>
      <c r="V73" s="70">
        <f>+V69</f>
        <v>4.5</v>
      </c>
      <c r="W73" s="176">
        <v>4.5</v>
      </c>
      <c r="X73" s="176">
        <v>4.5</v>
      </c>
      <c r="Y73" s="176">
        <v>4.5</v>
      </c>
      <c r="Z73" s="176">
        <v>4.5</v>
      </c>
      <c r="AA73" s="176"/>
      <c r="AB73" s="163">
        <v>5</v>
      </c>
      <c r="AC73" s="176"/>
      <c r="AD73" s="176"/>
      <c r="AE73" s="176"/>
      <c r="AF73" s="182"/>
      <c r="AG73" s="133">
        <v>4.5</v>
      </c>
      <c r="AH73" s="125"/>
      <c r="AI73" s="125"/>
      <c r="AJ73" s="140"/>
      <c r="AK73" s="144"/>
      <c r="AL73" s="578"/>
      <c r="AM73" s="651"/>
      <c r="AN73" s="651"/>
      <c r="AO73" s="578"/>
      <c r="AP73" s="581"/>
    </row>
    <row r="74" spans="1:42" s="5" customFormat="1" ht="63.75" customHeight="1" thickBot="1" x14ac:dyDescent="0.3">
      <c r="A74" s="665"/>
      <c r="B74" s="629"/>
      <c r="C74" s="623"/>
      <c r="D74" s="598"/>
      <c r="E74" s="598"/>
      <c r="F74" s="598"/>
      <c r="G74" s="148" t="s">
        <v>14</v>
      </c>
      <c r="H74" s="178">
        <f>+H70</f>
        <v>8435715482</v>
      </c>
      <c r="I74" s="178"/>
      <c r="J74" s="215">
        <v>476000000</v>
      </c>
      <c r="K74" s="178">
        <f>+K70</f>
        <v>86185680</v>
      </c>
      <c r="L74" s="178">
        <f>+L70+L72</f>
        <v>3768133197</v>
      </c>
      <c r="M74" s="178">
        <f>+M70+M72</f>
        <v>3768133197</v>
      </c>
      <c r="N74" s="178">
        <f>+N70+N72</f>
        <v>3768133197</v>
      </c>
      <c r="O74" s="178">
        <f>+O70+O72</f>
        <v>3768133197</v>
      </c>
      <c r="P74" s="150">
        <f>+P70+P72</f>
        <v>3460936940</v>
      </c>
      <c r="Q74" s="178">
        <f>+Q70+Q72</f>
        <v>3760316463</v>
      </c>
      <c r="R74" s="178">
        <f>+R70+R72</f>
        <v>3760316463</v>
      </c>
      <c r="S74" s="178">
        <v>3760316463</v>
      </c>
      <c r="T74" s="178">
        <v>3374587956</v>
      </c>
      <c r="U74" s="178">
        <v>2831619059</v>
      </c>
      <c r="V74" s="68">
        <f>+V70+V72</f>
        <v>3662051944</v>
      </c>
      <c r="W74" s="178">
        <v>3599909020</v>
      </c>
      <c r="X74" s="178">
        <v>3599909020</v>
      </c>
      <c r="Y74" s="178">
        <v>3699423523</v>
      </c>
      <c r="Z74" s="178">
        <v>3328125506</v>
      </c>
      <c r="AA74" s="178"/>
      <c r="AB74" s="228">
        <v>3528764442.3333335</v>
      </c>
      <c r="AC74" s="178"/>
      <c r="AD74" s="178"/>
      <c r="AE74" s="178"/>
      <c r="AF74" s="159"/>
      <c r="AG74" s="228">
        <v>2107928199</v>
      </c>
      <c r="AH74" s="150"/>
      <c r="AI74" s="150"/>
      <c r="AJ74" s="151"/>
      <c r="AK74" s="152"/>
      <c r="AL74" s="579"/>
      <c r="AM74" s="652"/>
      <c r="AN74" s="652"/>
      <c r="AO74" s="579"/>
      <c r="AP74" s="582"/>
    </row>
    <row r="75" spans="1:42" s="5" customFormat="1" ht="45" customHeight="1" x14ac:dyDescent="0.25">
      <c r="A75" s="665"/>
      <c r="B75" s="599">
        <v>12</v>
      </c>
      <c r="C75" s="626" t="s">
        <v>160</v>
      </c>
      <c r="D75" s="596" t="s">
        <v>114</v>
      </c>
      <c r="E75" s="596">
        <v>305</v>
      </c>
      <c r="F75" s="596">
        <v>180</v>
      </c>
      <c r="G75" s="134" t="s">
        <v>9</v>
      </c>
      <c r="H75" s="155">
        <v>2</v>
      </c>
      <c r="I75" s="155"/>
      <c r="J75" s="65">
        <v>0.2</v>
      </c>
      <c r="K75" s="65">
        <v>0.2</v>
      </c>
      <c r="L75" s="65">
        <v>0.8</v>
      </c>
      <c r="M75" s="65" t="s">
        <v>176</v>
      </c>
      <c r="N75" s="65" t="s">
        <v>176</v>
      </c>
      <c r="O75" s="65" t="s">
        <v>176</v>
      </c>
      <c r="P75" s="183">
        <v>0.8</v>
      </c>
      <c r="Q75" s="65">
        <v>1.4</v>
      </c>
      <c r="R75" s="65">
        <v>1.4</v>
      </c>
      <c r="S75" s="65">
        <v>1.4</v>
      </c>
      <c r="T75" s="65">
        <v>1.4</v>
      </c>
      <c r="U75" s="155">
        <v>1.4</v>
      </c>
      <c r="V75" s="65">
        <v>1.9</v>
      </c>
      <c r="W75" s="65">
        <v>1.9</v>
      </c>
      <c r="X75" s="65">
        <v>1.9</v>
      </c>
      <c r="Y75" s="65">
        <v>1.9</v>
      </c>
      <c r="Z75" s="155">
        <v>1.9</v>
      </c>
      <c r="AA75" s="155"/>
      <c r="AB75" s="160">
        <v>2</v>
      </c>
      <c r="AC75" s="155"/>
      <c r="AD75" s="155"/>
      <c r="AE75" s="155"/>
      <c r="AF75" s="65"/>
      <c r="AG75" s="160">
        <v>2</v>
      </c>
      <c r="AH75" s="183"/>
      <c r="AI75" s="183"/>
      <c r="AJ75" s="140"/>
      <c r="AK75" s="137"/>
      <c r="AL75" s="653" t="s">
        <v>455</v>
      </c>
      <c r="AM75" s="656" t="s">
        <v>335</v>
      </c>
      <c r="AN75" s="656" t="s">
        <v>146</v>
      </c>
      <c r="AO75" s="653" t="s">
        <v>408</v>
      </c>
      <c r="AP75" s="659"/>
    </row>
    <row r="76" spans="1:42" s="5" customFormat="1" ht="36" customHeight="1" x14ac:dyDescent="0.25">
      <c r="A76" s="665"/>
      <c r="B76" s="600"/>
      <c r="C76" s="622"/>
      <c r="D76" s="597"/>
      <c r="E76" s="597"/>
      <c r="F76" s="597"/>
      <c r="G76" s="138" t="s">
        <v>10</v>
      </c>
      <c r="H76" s="146">
        <f>K76+P76+U76+V76+AA76</f>
        <v>313892693</v>
      </c>
      <c r="I76" s="146"/>
      <c r="J76" s="146">
        <v>41010000</v>
      </c>
      <c r="K76" s="146">
        <v>39884387</v>
      </c>
      <c r="L76" s="146">
        <v>191740000</v>
      </c>
      <c r="M76" s="146">
        <v>191740000</v>
      </c>
      <c r="N76" s="146">
        <v>191740000</v>
      </c>
      <c r="O76" s="146">
        <v>191740000</v>
      </c>
      <c r="P76" s="156">
        <v>171253306</v>
      </c>
      <c r="Q76" s="146">
        <v>56350000</v>
      </c>
      <c r="R76" s="146">
        <v>56350000</v>
      </c>
      <c r="S76" s="146">
        <v>56350000</v>
      </c>
      <c r="T76" s="146">
        <v>51150000</v>
      </c>
      <c r="U76" s="146">
        <v>34300000</v>
      </c>
      <c r="V76" s="70">
        <v>68455000</v>
      </c>
      <c r="W76" s="146">
        <v>68455000</v>
      </c>
      <c r="X76" s="146">
        <v>138758000</v>
      </c>
      <c r="Y76" s="146">
        <v>91611479</v>
      </c>
      <c r="Z76" s="146">
        <v>90545773</v>
      </c>
      <c r="AA76" s="146"/>
      <c r="AB76" s="216">
        <v>43960000</v>
      </c>
      <c r="AC76" s="146"/>
      <c r="AD76" s="146"/>
      <c r="AE76" s="146"/>
      <c r="AF76" s="139"/>
      <c r="AG76" s="217">
        <v>7958165</v>
      </c>
      <c r="AH76" s="156"/>
      <c r="AI76" s="156"/>
      <c r="AJ76" s="140"/>
      <c r="AK76" s="144"/>
      <c r="AL76" s="654"/>
      <c r="AM76" s="657"/>
      <c r="AN76" s="657"/>
      <c r="AO76" s="654"/>
      <c r="AP76" s="660"/>
    </row>
    <row r="77" spans="1:42" s="5" customFormat="1" ht="40.5" customHeight="1" x14ac:dyDescent="0.25">
      <c r="A77" s="665"/>
      <c r="B77" s="600"/>
      <c r="C77" s="622"/>
      <c r="D77" s="597"/>
      <c r="E77" s="597"/>
      <c r="F77" s="597"/>
      <c r="G77" s="138" t="s">
        <v>11</v>
      </c>
      <c r="H77" s="171"/>
      <c r="I77" s="171"/>
      <c r="J77" s="171"/>
      <c r="K77" s="171"/>
      <c r="L77" s="171"/>
      <c r="M77" s="171"/>
      <c r="N77" s="171"/>
      <c r="O77" s="171"/>
      <c r="P77" s="173"/>
      <c r="Q77" s="171"/>
      <c r="R77" s="171"/>
      <c r="S77" s="171"/>
      <c r="T77" s="171"/>
      <c r="U77" s="171"/>
      <c r="V77" s="70"/>
      <c r="W77" s="129"/>
      <c r="X77" s="129"/>
      <c r="Y77" s="171"/>
      <c r="Z77" s="171"/>
      <c r="AA77" s="171"/>
      <c r="AB77" s="219"/>
      <c r="AC77" s="171"/>
      <c r="AD77" s="171"/>
      <c r="AE77" s="171"/>
      <c r="AF77" s="172"/>
      <c r="AG77" s="219"/>
      <c r="AH77" s="173"/>
      <c r="AI77" s="173"/>
      <c r="AJ77" s="140"/>
      <c r="AK77" s="144"/>
      <c r="AL77" s="654"/>
      <c r="AM77" s="657"/>
      <c r="AN77" s="657"/>
      <c r="AO77" s="654"/>
      <c r="AP77" s="660"/>
    </row>
    <row r="78" spans="1:42" s="5" customFormat="1" ht="33" customHeight="1" x14ac:dyDescent="0.25">
      <c r="A78" s="665"/>
      <c r="B78" s="600"/>
      <c r="C78" s="622"/>
      <c r="D78" s="597"/>
      <c r="E78" s="597"/>
      <c r="F78" s="597"/>
      <c r="G78" s="138" t="s">
        <v>12</v>
      </c>
      <c r="H78" s="175"/>
      <c r="I78" s="175"/>
      <c r="J78" s="175"/>
      <c r="K78" s="175"/>
      <c r="L78" s="175">
        <v>9212720</v>
      </c>
      <c r="M78" s="175">
        <v>9212720</v>
      </c>
      <c r="N78" s="175">
        <v>9212720</v>
      </c>
      <c r="O78" s="175">
        <v>9212720</v>
      </c>
      <c r="P78" s="156">
        <v>9212720</v>
      </c>
      <c r="Q78" s="156">
        <v>103361124</v>
      </c>
      <c r="R78" s="156">
        <v>103361124</v>
      </c>
      <c r="S78" s="156">
        <v>103361124</v>
      </c>
      <c r="T78" s="156">
        <v>103361124</v>
      </c>
      <c r="U78" s="175">
        <v>93662012</v>
      </c>
      <c r="V78" s="70">
        <v>2940000</v>
      </c>
      <c r="W78" s="174">
        <v>2940000</v>
      </c>
      <c r="X78" s="174">
        <v>2940000</v>
      </c>
      <c r="Y78" s="175">
        <v>2940000</v>
      </c>
      <c r="Z78" s="175">
        <v>2940000</v>
      </c>
      <c r="AA78" s="175"/>
      <c r="AB78" s="217">
        <v>7992800</v>
      </c>
      <c r="AC78" s="175"/>
      <c r="AD78" s="175"/>
      <c r="AE78" s="175"/>
      <c r="AF78" s="162"/>
      <c r="AG78" s="217">
        <v>7992800</v>
      </c>
      <c r="AH78" s="156"/>
      <c r="AI78" s="156"/>
      <c r="AJ78" s="140"/>
      <c r="AK78" s="144"/>
      <c r="AL78" s="654"/>
      <c r="AM78" s="657"/>
      <c r="AN78" s="657"/>
      <c r="AO78" s="654"/>
      <c r="AP78" s="660"/>
    </row>
    <row r="79" spans="1:42" s="5" customFormat="1" ht="36" customHeight="1" x14ac:dyDescent="0.25">
      <c r="A79" s="665"/>
      <c r="B79" s="600"/>
      <c r="C79" s="622"/>
      <c r="D79" s="597"/>
      <c r="E79" s="597"/>
      <c r="F79" s="597"/>
      <c r="G79" s="138" t="s">
        <v>13</v>
      </c>
      <c r="H79" s="176">
        <f>+H75</f>
        <v>2</v>
      </c>
      <c r="I79" s="176"/>
      <c r="J79" s="177">
        <v>0.2</v>
      </c>
      <c r="K79" s="70">
        <f t="shared" ref="K79:P79" si="19">+K75</f>
        <v>0.2</v>
      </c>
      <c r="L79" s="70">
        <f t="shared" si="19"/>
        <v>0.8</v>
      </c>
      <c r="M79" s="70" t="str">
        <f t="shared" si="19"/>
        <v>0.8</v>
      </c>
      <c r="N79" s="70" t="str">
        <f t="shared" si="19"/>
        <v>0.8</v>
      </c>
      <c r="O79" s="70" t="str">
        <f t="shared" si="19"/>
        <v>0.8</v>
      </c>
      <c r="P79" s="173">
        <f t="shared" si="19"/>
        <v>0.8</v>
      </c>
      <c r="Q79" s="70">
        <f>+Q75</f>
        <v>1.4</v>
      </c>
      <c r="R79" s="70">
        <f>+R75</f>
        <v>1.4</v>
      </c>
      <c r="S79" s="70">
        <v>1.4</v>
      </c>
      <c r="T79" s="70">
        <v>1.4</v>
      </c>
      <c r="U79" s="176">
        <v>1.4</v>
      </c>
      <c r="V79" s="70">
        <f t="shared" ref="V79" si="20">+V75</f>
        <v>1.9</v>
      </c>
      <c r="W79" s="70">
        <v>1.9</v>
      </c>
      <c r="X79" s="70">
        <v>1.9</v>
      </c>
      <c r="Y79" s="70">
        <v>1.9</v>
      </c>
      <c r="Z79" s="176">
        <v>1.9</v>
      </c>
      <c r="AA79" s="176"/>
      <c r="AB79" s="163">
        <v>2</v>
      </c>
      <c r="AC79" s="176"/>
      <c r="AD79" s="176"/>
      <c r="AE79" s="176"/>
      <c r="AF79" s="182"/>
      <c r="AG79" s="133">
        <v>2</v>
      </c>
      <c r="AH79" s="173"/>
      <c r="AI79" s="173"/>
      <c r="AJ79" s="140"/>
      <c r="AK79" s="144"/>
      <c r="AL79" s="654"/>
      <c r="AM79" s="657"/>
      <c r="AN79" s="657"/>
      <c r="AO79" s="654"/>
      <c r="AP79" s="660"/>
    </row>
    <row r="80" spans="1:42" s="5" customFormat="1" ht="49.5" customHeight="1" thickBot="1" x14ac:dyDescent="0.3">
      <c r="A80" s="665"/>
      <c r="B80" s="601"/>
      <c r="C80" s="623"/>
      <c r="D80" s="598"/>
      <c r="E80" s="598"/>
      <c r="F80" s="598"/>
      <c r="G80" s="148" t="s">
        <v>14</v>
      </c>
      <c r="H80" s="178">
        <f>+H76</f>
        <v>313892693</v>
      </c>
      <c r="I80" s="178"/>
      <c r="J80" s="178">
        <v>41000000</v>
      </c>
      <c r="K80" s="178">
        <f>+K76</f>
        <v>39884387</v>
      </c>
      <c r="L80" s="178">
        <f t="shared" ref="L80:Q80" si="21">+L76+L78</f>
        <v>200952720</v>
      </c>
      <c r="M80" s="178">
        <f t="shared" si="21"/>
        <v>200952720</v>
      </c>
      <c r="N80" s="178">
        <f t="shared" si="21"/>
        <v>200952720</v>
      </c>
      <c r="O80" s="178">
        <f t="shared" si="21"/>
        <v>200952720</v>
      </c>
      <c r="P80" s="150">
        <f t="shared" si="21"/>
        <v>180466026</v>
      </c>
      <c r="Q80" s="178">
        <f t="shared" si="21"/>
        <v>159711124</v>
      </c>
      <c r="R80" s="178">
        <f>+R76+R78</f>
        <v>159711124</v>
      </c>
      <c r="S80" s="178">
        <v>159711124</v>
      </c>
      <c r="T80" s="178">
        <v>154511124</v>
      </c>
      <c r="U80" s="178">
        <v>127962012</v>
      </c>
      <c r="V80" s="74">
        <f>+V76+V78</f>
        <v>71395000</v>
      </c>
      <c r="W80" s="178">
        <v>71395000</v>
      </c>
      <c r="X80" s="178">
        <v>141698000</v>
      </c>
      <c r="Y80" s="178">
        <v>94551479</v>
      </c>
      <c r="Z80" s="178">
        <v>93485773</v>
      </c>
      <c r="AA80" s="178"/>
      <c r="AB80" s="228">
        <v>51952800</v>
      </c>
      <c r="AC80" s="178"/>
      <c r="AD80" s="178"/>
      <c r="AE80" s="178"/>
      <c r="AF80" s="244"/>
      <c r="AG80" s="228">
        <v>15950965</v>
      </c>
      <c r="AH80" s="150"/>
      <c r="AI80" s="150"/>
      <c r="AJ80" s="151"/>
      <c r="AK80" s="152"/>
      <c r="AL80" s="655"/>
      <c r="AM80" s="658"/>
      <c r="AN80" s="658"/>
      <c r="AO80" s="655"/>
      <c r="AP80" s="661"/>
    </row>
    <row r="81" spans="1:42" s="5" customFormat="1" ht="63.75" customHeight="1" x14ac:dyDescent="0.25">
      <c r="A81" s="665"/>
      <c r="B81" s="628">
        <v>13</v>
      </c>
      <c r="C81" s="626" t="s">
        <v>369</v>
      </c>
      <c r="D81" s="596" t="s">
        <v>114</v>
      </c>
      <c r="E81" s="596">
        <v>311</v>
      </c>
      <c r="F81" s="596">
        <v>182</v>
      </c>
      <c r="G81" s="134" t="s">
        <v>9</v>
      </c>
      <c r="H81" s="155">
        <v>120</v>
      </c>
      <c r="I81" s="155"/>
      <c r="J81" s="155">
        <v>30</v>
      </c>
      <c r="K81" s="155">
        <v>30</v>
      </c>
      <c r="L81" s="168">
        <v>113.22</v>
      </c>
      <c r="M81" s="155" t="s">
        <v>177</v>
      </c>
      <c r="N81" s="155" t="s">
        <v>177</v>
      </c>
      <c r="O81" s="155" t="s">
        <v>177</v>
      </c>
      <c r="P81" s="183">
        <v>113.22</v>
      </c>
      <c r="Q81" s="155">
        <v>115</v>
      </c>
      <c r="R81" s="155">
        <v>115</v>
      </c>
      <c r="S81" s="155">
        <v>115</v>
      </c>
      <c r="T81" s="155">
        <v>115</v>
      </c>
      <c r="U81" s="155">
        <v>115</v>
      </c>
      <c r="V81" s="188">
        <v>118</v>
      </c>
      <c r="W81" s="155">
        <v>130</v>
      </c>
      <c r="X81" s="155">
        <v>130</v>
      </c>
      <c r="Y81" s="155">
        <v>130</v>
      </c>
      <c r="Z81" s="155">
        <v>130</v>
      </c>
      <c r="AA81" s="155"/>
      <c r="AB81" s="160">
        <v>140</v>
      </c>
      <c r="AC81" s="155"/>
      <c r="AD81" s="155"/>
      <c r="AE81" s="155"/>
      <c r="AF81" s="189"/>
      <c r="AG81" s="160">
        <v>140</v>
      </c>
      <c r="AH81" s="183"/>
      <c r="AI81" s="183"/>
      <c r="AJ81" s="140"/>
      <c r="AK81" s="137"/>
      <c r="AL81" s="639" t="s">
        <v>473</v>
      </c>
      <c r="AM81" s="608" t="s">
        <v>146</v>
      </c>
      <c r="AN81" s="608" t="s">
        <v>146</v>
      </c>
      <c r="AO81" s="577" t="s">
        <v>391</v>
      </c>
      <c r="AP81" s="580" t="s">
        <v>456</v>
      </c>
    </row>
    <row r="82" spans="1:42" s="5" customFormat="1" ht="66.75" customHeight="1" x14ac:dyDescent="0.25">
      <c r="A82" s="665"/>
      <c r="B82" s="619"/>
      <c r="C82" s="622"/>
      <c r="D82" s="597"/>
      <c r="E82" s="597"/>
      <c r="F82" s="597"/>
      <c r="G82" s="138" t="s">
        <v>10</v>
      </c>
      <c r="H82" s="146">
        <f>K82+P82+U82+V82+AA82</f>
        <v>3833237756</v>
      </c>
      <c r="I82" s="146"/>
      <c r="J82" s="146">
        <v>128035421</v>
      </c>
      <c r="K82" s="146">
        <v>125633380</v>
      </c>
      <c r="L82" s="146">
        <v>1631676547</v>
      </c>
      <c r="M82" s="146">
        <v>1631676547</v>
      </c>
      <c r="N82" s="146">
        <v>1631676547</v>
      </c>
      <c r="O82" s="146">
        <v>1631676547</v>
      </c>
      <c r="P82" s="156">
        <v>1631640000</v>
      </c>
      <c r="Q82" s="146">
        <v>967995000</v>
      </c>
      <c r="R82" s="146">
        <v>967995000</v>
      </c>
      <c r="S82" s="146">
        <v>889340000</v>
      </c>
      <c r="T82" s="146">
        <v>888217376</v>
      </c>
      <c r="U82" s="146">
        <v>879217376</v>
      </c>
      <c r="V82" s="66">
        <v>1196747000</v>
      </c>
      <c r="W82" s="146">
        <v>1196747000</v>
      </c>
      <c r="X82" s="146">
        <v>1196747000</v>
      </c>
      <c r="Y82" s="146">
        <v>1010453680</v>
      </c>
      <c r="Z82" s="146">
        <v>1009870467</v>
      </c>
      <c r="AA82" s="146"/>
      <c r="AB82" s="216">
        <v>1101265000</v>
      </c>
      <c r="AC82" s="146"/>
      <c r="AD82" s="146"/>
      <c r="AE82" s="146"/>
      <c r="AF82" s="162"/>
      <c r="AG82" s="217">
        <v>39539743</v>
      </c>
      <c r="AH82" s="156"/>
      <c r="AI82" s="156"/>
      <c r="AJ82" s="140"/>
      <c r="AK82" s="144"/>
      <c r="AL82" s="640"/>
      <c r="AM82" s="609"/>
      <c r="AN82" s="609"/>
      <c r="AO82" s="578"/>
      <c r="AP82" s="581"/>
    </row>
    <row r="83" spans="1:42" s="5" customFormat="1" ht="53.25" customHeight="1" x14ac:dyDescent="0.25">
      <c r="A83" s="665"/>
      <c r="B83" s="619"/>
      <c r="C83" s="622"/>
      <c r="D83" s="597"/>
      <c r="E83" s="597"/>
      <c r="F83" s="597"/>
      <c r="G83" s="138" t="s">
        <v>11</v>
      </c>
      <c r="H83" s="171"/>
      <c r="I83" s="171"/>
      <c r="J83" s="171"/>
      <c r="K83" s="171"/>
      <c r="L83" s="171"/>
      <c r="M83" s="171"/>
      <c r="N83" s="171"/>
      <c r="O83" s="171"/>
      <c r="P83" s="173"/>
      <c r="Q83" s="171"/>
      <c r="R83" s="171"/>
      <c r="S83" s="171"/>
      <c r="T83" s="171"/>
      <c r="U83" s="171"/>
      <c r="V83" s="69"/>
      <c r="W83" s="129"/>
      <c r="X83" s="129"/>
      <c r="Y83" s="171"/>
      <c r="Z83" s="171"/>
      <c r="AA83" s="171"/>
      <c r="AB83" s="219"/>
      <c r="AC83" s="171"/>
      <c r="AD83" s="171"/>
      <c r="AE83" s="171"/>
      <c r="AF83" s="172"/>
      <c r="AG83" s="219"/>
      <c r="AH83" s="173"/>
      <c r="AI83" s="173"/>
      <c r="AJ83" s="140"/>
      <c r="AK83" s="144"/>
      <c r="AL83" s="640"/>
      <c r="AM83" s="609"/>
      <c r="AN83" s="609"/>
      <c r="AO83" s="578"/>
      <c r="AP83" s="581"/>
    </row>
    <row r="84" spans="1:42" s="5" customFormat="1" ht="62.25" customHeight="1" x14ac:dyDescent="0.25">
      <c r="A84" s="665"/>
      <c r="B84" s="619"/>
      <c r="C84" s="622"/>
      <c r="D84" s="597"/>
      <c r="E84" s="597"/>
      <c r="F84" s="597"/>
      <c r="G84" s="138" t="s">
        <v>12</v>
      </c>
      <c r="H84" s="171"/>
      <c r="I84" s="171"/>
      <c r="J84" s="171"/>
      <c r="K84" s="171"/>
      <c r="L84" s="171"/>
      <c r="M84" s="171"/>
      <c r="N84" s="171"/>
      <c r="O84" s="171"/>
      <c r="P84" s="242"/>
      <c r="Q84" s="181">
        <v>354084734</v>
      </c>
      <c r="R84" s="181">
        <v>354084734</v>
      </c>
      <c r="S84" s="181">
        <v>349021401</v>
      </c>
      <c r="T84" s="181">
        <v>349021401</v>
      </c>
      <c r="U84" s="171">
        <v>237965401</v>
      </c>
      <c r="V84" s="66">
        <v>296633709</v>
      </c>
      <c r="W84" s="129">
        <v>252170467</v>
      </c>
      <c r="X84" s="129">
        <v>250485467</v>
      </c>
      <c r="Y84" s="181">
        <v>250485467</v>
      </c>
      <c r="Z84" s="171">
        <v>250485467</v>
      </c>
      <c r="AA84" s="171"/>
      <c r="AB84" s="217">
        <v>401783453</v>
      </c>
      <c r="AC84" s="171"/>
      <c r="AD84" s="171"/>
      <c r="AE84" s="171"/>
      <c r="AF84" s="245"/>
      <c r="AG84" s="217">
        <v>258148010</v>
      </c>
      <c r="AH84" s="242"/>
      <c r="AI84" s="242"/>
      <c r="AJ84" s="140"/>
      <c r="AK84" s="144"/>
      <c r="AL84" s="640"/>
      <c r="AM84" s="609"/>
      <c r="AN84" s="609"/>
      <c r="AO84" s="578"/>
      <c r="AP84" s="581"/>
    </row>
    <row r="85" spans="1:42" s="5" customFormat="1" ht="54.75" customHeight="1" x14ac:dyDescent="0.25">
      <c r="A85" s="665"/>
      <c r="B85" s="619"/>
      <c r="C85" s="622"/>
      <c r="D85" s="597"/>
      <c r="E85" s="597"/>
      <c r="F85" s="597"/>
      <c r="G85" s="138" t="s">
        <v>13</v>
      </c>
      <c r="H85" s="176">
        <f>+H81</f>
        <v>120</v>
      </c>
      <c r="I85" s="176"/>
      <c r="J85" s="176">
        <f>+J81</f>
        <v>30</v>
      </c>
      <c r="K85" s="176">
        <f t="shared" ref="K85:O86" si="22">+K81</f>
        <v>30</v>
      </c>
      <c r="L85" s="176">
        <f t="shared" si="22"/>
        <v>113.22</v>
      </c>
      <c r="M85" s="176" t="str">
        <f t="shared" si="22"/>
        <v>113.22</v>
      </c>
      <c r="N85" s="176" t="str">
        <f t="shared" si="22"/>
        <v>113.22</v>
      </c>
      <c r="O85" s="176" t="str">
        <f t="shared" si="22"/>
        <v>113.22</v>
      </c>
      <c r="P85" s="173">
        <v>113.22</v>
      </c>
      <c r="Q85" s="176">
        <f>+Q81</f>
        <v>115</v>
      </c>
      <c r="R85" s="176">
        <f>+R81</f>
        <v>115</v>
      </c>
      <c r="S85" s="176">
        <v>115</v>
      </c>
      <c r="T85" s="176">
        <v>115</v>
      </c>
      <c r="U85" s="176">
        <v>115</v>
      </c>
      <c r="V85" s="70">
        <f>+V81</f>
        <v>118</v>
      </c>
      <c r="W85" s="176">
        <v>130</v>
      </c>
      <c r="X85" s="176">
        <v>130</v>
      </c>
      <c r="Y85" s="176">
        <v>130</v>
      </c>
      <c r="Z85" s="176">
        <v>130</v>
      </c>
      <c r="AA85" s="176"/>
      <c r="AB85" s="163">
        <v>140</v>
      </c>
      <c r="AC85" s="176"/>
      <c r="AD85" s="176"/>
      <c r="AE85" s="176"/>
      <c r="AF85" s="182"/>
      <c r="AG85" s="133">
        <v>140</v>
      </c>
      <c r="AH85" s="173"/>
      <c r="AI85" s="173"/>
      <c r="AJ85" s="140"/>
      <c r="AK85" s="144"/>
      <c r="AL85" s="640"/>
      <c r="AM85" s="609"/>
      <c r="AN85" s="609"/>
      <c r="AO85" s="578"/>
      <c r="AP85" s="581"/>
    </row>
    <row r="86" spans="1:42" s="5" customFormat="1" ht="63.75" customHeight="1" thickBot="1" x14ac:dyDescent="0.3">
      <c r="A86" s="665"/>
      <c r="B86" s="629"/>
      <c r="C86" s="623"/>
      <c r="D86" s="598"/>
      <c r="E86" s="598"/>
      <c r="F86" s="598"/>
      <c r="G86" s="148" t="s">
        <v>14</v>
      </c>
      <c r="H86" s="178">
        <f>+H82</f>
        <v>3833237756</v>
      </c>
      <c r="I86" s="178"/>
      <c r="J86" s="178">
        <f>+J82</f>
        <v>128035421</v>
      </c>
      <c r="K86" s="178">
        <f t="shared" si="22"/>
        <v>125633380</v>
      </c>
      <c r="L86" s="178">
        <f t="shared" si="22"/>
        <v>1631676547</v>
      </c>
      <c r="M86" s="178">
        <f t="shared" si="22"/>
        <v>1631676547</v>
      </c>
      <c r="N86" s="178">
        <f t="shared" si="22"/>
        <v>1631676547</v>
      </c>
      <c r="O86" s="178">
        <f t="shared" si="22"/>
        <v>1631676547</v>
      </c>
      <c r="P86" s="150">
        <f>+P82</f>
        <v>1631640000</v>
      </c>
      <c r="Q86" s="178">
        <f>+Q82+Q84</f>
        <v>1322079734</v>
      </c>
      <c r="R86" s="178">
        <f>+R82+R84</f>
        <v>1322079734</v>
      </c>
      <c r="S86" s="178">
        <v>1238361401</v>
      </c>
      <c r="T86" s="178">
        <v>1237238777</v>
      </c>
      <c r="U86" s="178">
        <v>1117182777</v>
      </c>
      <c r="V86" s="190">
        <f>+V82+V84</f>
        <v>1493380709</v>
      </c>
      <c r="W86" s="178">
        <v>1448917467</v>
      </c>
      <c r="X86" s="178">
        <v>1448917467</v>
      </c>
      <c r="Y86" s="178">
        <v>1448917467</v>
      </c>
      <c r="Z86" s="178">
        <v>1260355934</v>
      </c>
      <c r="AA86" s="178"/>
      <c r="AB86" s="228">
        <v>1503048453</v>
      </c>
      <c r="AC86" s="178"/>
      <c r="AD86" s="178"/>
      <c r="AE86" s="178"/>
      <c r="AF86" s="159"/>
      <c r="AG86" s="228">
        <v>297687753</v>
      </c>
      <c r="AH86" s="150"/>
      <c r="AI86" s="150"/>
      <c r="AJ86" s="151"/>
      <c r="AK86" s="152"/>
      <c r="AL86" s="641"/>
      <c r="AM86" s="610"/>
      <c r="AN86" s="610"/>
      <c r="AO86" s="579"/>
      <c r="AP86" s="582"/>
    </row>
    <row r="87" spans="1:42" s="5" customFormat="1" ht="45" customHeight="1" x14ac:dyDescent="0.25">
      <c r="A87" s="665"/>
      <c r="B87" s="599">
        <v>14</v>
      </c>
      <c r="C87" s="626" t="s">
        <v>161</v>
      </c>
      <c r="D87" s="596" t="s">
        <v>113</v>
      </c>
      <c r="E87" s="596">
        <v>311</v>
      </c>
      <c r="F87" s="596">
        <v>182</v>
      </c>
      <c r="G87" s="134" t="s">
        <v>9</v>
      </c>
      <c r="H87" s="155">
        <v>3</v>
      </c>
      <c r="I87" s="155"/>
      <c r="J87" s="155">
        <v>3</v>
      </c>
      <c r="K87" s="155">
        <v>3</v>
      </c>
      <c r="L87" s="155">
        <v>3</v>
      </c>
      <c r="M87" s="155">
        <v>3</v>
      </c>
      <c r="N87" s="155">
        <v>3</v>
      </c>
      <c r="O87" s="155">
        <v>3</v>
      </c>
      <c r="P87" s="183">
        <v>3</v>
      </c>
      <c r="Q87" s="155">
        <v>3</v>
      </c>
      <c r="R87" s="155">
        <v>3</v>
      </c>
      <c r="S87" s="155">
        <v>3</v>
      </c>
      <c r="T87" s="155">
        <v>3</v>
      </c>
      <c r="U87" s="155">
        <v>3</v>
      </c>
      <c r="V87" s="65">
        <v>3</v>
      </c>
      <c r="W87" s="155">
        <v>3</v>
      </c>
      <c r="X87" s="155">
        <v>3</v>
      </c>
      <c r="Y87" s="155">
        <v>3</v>
      </c>
      <c r="Z87" s="155">
        <v>3</v>
      </c>
      <c r="AA87" s="155"/>
      <c r="AB87" s="160">
        <v>3</v>
      </c>
      <c r="AC87" s="155"/>
      <c r="AD87" s="155"/>
      <c r="AE87" s="155"/>
      <c r="AF87" s="179"/>
      <c r="AG87" s="160">
        <v>3</v>
      </c>
      <c r="AH87" s="183"/>
      <c r="AI87" s="183"/>
      <c r="AJ87" s="140"/>
      <c r="AK87" s="137"/>
      <c r="AL87" s="614" t="s">
        <v>474</v>
      </c>
      <c r="AM87" s="642" t="s">
        <v>146</v>
      </c>
      <c r="AN87" s="642" t="s">
        <v>146</v>
      </c>
      <c r="AO87" s="645" t="s">
        <v>359</v>
      </c>
      <c r="AP87" s="648" t="s">
        <v>457</v>
      </c>
    </row>
    <row r="88" spans="1:42" s="5" customFormat="1" ht="36" customHeight="1" x14ac:dyDescent="0.25">
      <c r="A88" s="665"/>
      <c r="B88" s="600"/>
      <c r="C88" s="622"/>
      <c r="D88" s="597"/>
      <c r="E88" s="597"/>
      <c r="F88" s="597"/>
      <c r="G88" s="138" t="s">
        <v>10</v>
      </c>
      <c r="H88" s="146">
        <f>K88+P88+U88+V88+AA88</f>
        <v>1907286000</v>
      </c>
      <c r="I88" s="146"/>
      <c r="J88" s="146">
        <v>449176710</v>
      </c>
      <c r="K88" s="146">
        <v>387300000</v>
      </c>
      <c r="L88" s="146">
        <v>588560000</v>
      </c>
      <c r="M88" s="146">
        <v>588560000</v>
      </c>
      <c r="N88" s="146">
        <v>588560000</v>
      </c>
      <c r="O88" s="146">
        <v>588560000</v>
      </c>
      <c r="P88" s="156">
        <v>588560000</v>
      </c>
      <c r="Q88" s="146">
        <v>441180000</v>
      </c>
      <c r="R88" s="146">
        <v>441180000</v>
      </c>
      <c r="S88" s="146">
        <v>456140000</v>
      </c>
      <c r="T88" s="146">
        <v>456140000</v>
      </c>
      <c r="U88" s="146">
        <v>451605000</v>
      </c>
      <c r="V88" s="66">
        <v>479821000</v>
      </c>
      <c r="W88" s="146">
        <v>259821000</v>
      </c>
      <c r="X88" s="146">
        <v>259821000</v>
      </c>
      <c r="Y88" s="146">
        <v>265900626</v>
      </c>
      <c r="Z88" s="146">
        <v>265900626</v>
      </c>
      <c r="AA88" s="146"/>
      <c r="AB88" s="216">
        <v>369601000</v>
      </c>
      <c r="AC88" s="146"/>
      <c r="AD88" s="146"/>
      <c r="AE88" s="146"/>
      <c r="AF88" s="162"/>
      <c r="AG88" s="217">
        <v>34012454</v>
      </c>
      <c r="AH88" s="156"/>
      <c r="AI88" s="156"/>
      <c r="AJ88" s="140"/>
      <c r="AK88" s="144"/>
      <c r="AL88" s="615"/>
      <c r="AM88" s="643"/>
      <c r="AN88" s="643"/>
      <c r="AO88" s="646"/>
      <c r="AP88" s="649"/>
    </row>
    <row r="89" spans="1:42" s="5" customFormat="1" ht="40.5" customHeight="1" x14ac:dyDescent="0.25">
      <c r="A89" s="665"/>
      <c r="B89" s="600"/>
      <c r="C89" s="622"/>
      <c r="D89" s="597"/>
      <c r="E89" s="597"/>
      <c r="F89" s="597"/>
      <c r="G89" s="138" t="s">
        <v>11</v>
      </c>
      <c r="H89" s="171"/>
      <c r="I89" s="171"/>
      <c r="J89" s="171"/>
      <c r="K89" s="171"/>
      <c r="L89" s="171"/>
      <c r="M89" s="171"/>
      <c r="N89" s="171"/>
      <c r="O89" s="171"/>
      <c r="P89" s="108"/>
      <c r="Q89" s="171"/>
      <c r="R89" s="171"/>
      <c r="S89" s="171"/>
      <c r="T89" s="171"/>
      <c r="U89" s="171"/>
      <c r="V89" s="69"/>
      <c r="W89" s="129"/>
      <c r="X89" s="129"/>
      <c r="Y89" s="171"/>
      <c r="Z89" s="171"/>
      <c r="AA89" s="171"/>
      <c r="AB89" s="219"/>
      <c r="AC89" s="171"/>
      <c r="AD89" s="171"/>
      <c r="AE89" s="171"/>
      <c r="AF89" s="172"/>
      <c r="AG89" s="219"/>
      <c r="AH89" s="108"/>
      <c r="AI89" s="108"/>
      <c r="AJ89" s="140"/>
      <c r="AK89" s="144"/>
      <c r="AL89" s="615"/>
      <c r="AM89" s="643"/>
      <c r="AN89" s="643"/>
      <c r="AO89" s="646"/>
      <c r="AP89" s="649"/>
    </row>
    <row r="90" spans="1:42" s="5" customFormat="1" ht="33" customHeight="1" x14ac:dyDescent="0.25">
      <c r="A90" s="665"/>
      <c r="B90" s="600"/>
      <c r="C90" s="622"/>
      <c r="D90" s="597"/>
      <c r="E90" s="597"/>
      <c r="F90" s="597"/>
      <c r="G90" s="138" t="s">
        <v>12</v>
      </c>
      <c r="H90" s="175"/>
      <c r="I90" s="175"/>
      <c r="J90" s="175"/>
      <c r="K90" s="175"/>
      <c r="L90" s="175">
        <v>374000000</v>
      </c>
      <c r="M90" s="175">
        <v>374000000</v>
      </c>
      <c r="N90" s="175">
        <v>374000000</v>
      </c>
      <c r="O90" s="175">
        <v>374000000</v>
      </c>
      <c r="P90" s="156">
        <v>374000000</v>
      </c>
      <c r="Q90" s="156">
        <v>289751334</v>
      </c>
      <c r="R90" s="156">
        <v>289751334</v>
      </c>
      <c r="S90" s="156">
        <v>289751334</v>
      </c>
      <c r="T90" s="156">
        <v>289751334</v>
      </c>
      <c r="U90" s="175">
        <v>289751334</v>
      </c>
      <c r="V90" s="69">
        <v>367710667</v>
      </c>
      <c r="W90" s="174">
        <v>367710667</v>
      </c>
      <c r="X90" s="174">
        <v>367710667</v>
      </c>
      <c r="Y90" s="175">
        <v>367710667</v>
      </c>
      <c r="Z90" s="175">
        <v>367710667</v>
      </c>
      <c r="AA90" s="175"/>
      <c r="AB90" s="217">
        <v>114081259</v>
      </c>
      <c r="AC90" s="175"/>
      <c r="AD90" s="175"/>
      <c r="AE90" s="175"/>
      <c r="AF90" s="162"/>
      <c r="AG90" s="217">
        <v>114081259</v>
      </c>
      <c r="AH90" s="156"/>
      <c r="AI90" s="156"/>
      <c r="AJ90" s="140"/>
      <c r="AK90" s="144"/>
      <c r="AL90" s="615"/>
      <c r="AM90" s="643"/>
      <c r="AN90" s="643"/>
      <c r="AO90" s="646"/>
      <c r="AP90" s="649"/>
    </row>
    <row r="91" spans="1:42" s="5" customFormat="1" ht="36" customHeight="1" x14ac:dyDescent="0.25">
      <c r="A91" s="665"/>
      <c r="B91" s="600"/>
      <c r="C91" s="622"/>
      <c r="D91" s="597"/>
      <c r="E91" s="597"/>
      <c r="F91" s="597"/>
      <c r="G91" s="138" t="s">
        <v>13</v>
      </c>
      <c r="H91" s="176">
        <f>+H87</f>
        <v>3</v>
      </c>
      <c r="I91" s="176"/>
      <c r="J91" s="221">
        <v>3</v>
      </c>
      <c r="K91" s="176">
        <f>+K87</f>
        <v>3</v>
      </c>
      <c r="L91" s="176">
        <f>+L87</f>
        <v>3</v>
      </c>
      <c r="M91" s="176">
        <f>+M87</f>
        <v>3</v>
      </c>
      <c r="N91" s="176">
        <f>+N87</f>
        <v>3</v>
      </c>
      <c r="O91" s="176">
        <f>+O87</f>
        <v>3</v>
      </c>
      <c r="P91" s="173">
        <v>3</v>
      </c>
      <c r="Q91" s="176">
        <f>+Q87</f>
        <v>3</v>
      </c>
      <c r="R91" s="176">
        <f>+R87</f>
        <v>3</v>
      </c>
      <c r="S91" s="176">
        <v>3</v>
      </c>
      <c r="T91" s="176">
        <v>3</v>
      </c>
      <c r="U91" s="176">
        <v>3</v>
      </c>
      <c r="V91" s="70">
        <f>+V87</f>
        <v>3</v>
      </c>
      <c r="W91" s="176">
        <v>3</v>
      </c>
      <c r="X91" s="176">
        <v>3</v>
      </c>
      <c r="Y91" s="176">
        <v>3</v>
      </c>
      <c r="Z91" s="176">
        <v>3</v>
      </c>
      <c r="AA91" s="176"/>
      <c r="AB91" s="163">
        <v>3</v>
      </c>
      <c r="AC91" s="176"/>
      <c r="AD91" s="176"/>
      <c r="AE91" s="176"/>
      <c r="AF91" s="182"/>
      <c r="AG91" s="133">
        <v>3</v>
      </c>
      <c r="AH91" s="125"/>
      <c r="AI91" s="125"/>
      <c r="AJ91" s="140"/>
      <c r="AK91" s="144"/>
      <c r="AL91" s="615"/>
      <c r="AM91" s="643"/>
      <c r="AN91" s="643"/>
      <c r="AO91" s="646"/>
      <c r="AP91" s="649"/>
    </row>
    <row r="92" spans="1:42" s="5" customFormat="1" ht="49.5" customHeight="1" thickBot="1" x14ac:dyDescent="0.3">
      <c r="A92" s="665"/>
      <c r="B92" s="601"/>
      <c r="C92" s="623"/>
      <c r="D92" s="598"/>
      <c r="E92" s="598"/>
      <c r="F92" s="598"/>
      <c r="G92" s="148" t="s">
        <v>14</v>
      </c>
      <c r="H92" s="178">
        <f>+H88</f>
        <v>1907286000</v>
      </c>
      <c r="I92" s="178"/>
      <c r="J92" s="215">
        <v>449176710</v>
      </c>
      <c r="K92" s="178">
        <f>+K88</f>
        <v>387300000</v>
      </c>
      <c r="L92" s="178">
        <f t="shared" ref="L92:Q92" si="23">+L88+L90</f>
        <v>962560000</v>
      </c>
      <c r="M92" s="178">
        <f t="shared" si="23"/>
        <v>962560000</v>
      </c>
      <c r="N92" s="178">
        <f t="shared" si="23"/>
        <v>962560000</v>
      </c>
      <c r="O92" s="178">
        <f t="shared" si="23"/>
        <v>962560000</v>
      </c>
      <c r="P92" s="150">
        <f t="shared" si="23"/>
        <v>962560000</v>
      </c>
      <c r="Q92" s="178">
        <f t="shared" si="23"/>
        <v>730931334</v>
      </c>
      <c r="R92" s="178">
        <f>+R88+R90</f>
        <v>730931334</v>
      </c>
      <c r="S92" s="178">
        <v>745891334</v>
      </c>
      <c r="T92" s="178">
        <v>745891334</v>
      </c>
      <c r="U92" s="178">
        <v>741356334</v>
      </c>
      <c r="V92" s="68">
        <f>+V88+V90</f>
        <v>847531667</v>
      </c>
      <c r="W92" s="178">
        <v>627531667</v>
      </c>
      <c r="X92" s="178">
        <v>627531667</v>
      </c>
      <c r="Y92" s="178">
        <v>633611293</v>
      </c>
      <c r="Z92" s="178">
        <v>633611293</v>
      </c>
      <c r="AA92" s="178"/>
      <c r="AB92" s="228">
        <v>483682259</v>
      </c>
      <c r="AC92" s="178"/>
      <c r="AD92" s="178"/>
      <c r="AE92" s="178"/>
      <c r="AF92" s="159"/>
      <c r="AG92" s="228">
        <v>148093713</v>
      </c>
      <c r="AH92" s="150"/>
      <c r="AI92" s="150"/>
      <c r="AJ92" s="151"/>
      <c r="AK92" s="152"/>
      <c r="AL92" s="616"/>
      <c r="AM92" s="644"/>
      <c r="AN92" s="644"/>
      <c r="AO92" s="647"/>
      <c r="AP92" s="650"/>
    </row>
    <row r="93" spans="1:42" s="5" customFormat="1" ht="63.75" customHeight="1" thickBot="1" x14ac:dyDescent="0.3">
      <c r="A93" s="665"/>
      <c r="B93" s="628">
        <v>15</v>
      </c>
      <c r="C93" s="626" t="s">
        <v>162</v>
      </c>
      <c r="D93" s="596" t="s">
        <v>114</v>
      </c>
      <c r="E93" s="596">
        <v>311</v>
      </c>
      <c r="F93" s="596">
        <v>182</v>
      </c>
      <c r="G93" s="134" t="s">
        <v>9</v>
      </c>
      <c r="H93" s="155">
        <v>95</v>
      </c>
      <c r="I93" s="155"/>
      <c r="J93" s="155">
        <v>76</v>
      </c>
      <c r="K93" s="155">
        <v>76</v>
      </c>
      <c r="L93" s="65">
        <v>92.7</v>
      </c>
      <c r="M93" s="65" t="s">
        <v>178</v>
      </c>
      <c r="N93" s="65" t="s">
        <v>178</v>
      </c>
      <c r="O93" s="65" t="s">
        <v>178</v>
      </c>
      <c r="P93" s="170">
        <v>93.8</v>
      </c>
      <c r="Q93" s="155">
        <v>93</v>
      </c>
      <c r="R93" s="155">
        <v>93</v>
      </c>
      <c r="S93" s="155">
        <v>93</v>
      </c>
      <c r="T93" s="155">
        <v>93</v>
      </c>
      <c r="U93" s="155">
        <v>89</v>
      </c>
      <c r="V93" s="65">
        <v>94</v>
      </c>
      <c r="W93" s="155">
        <v>94</v>
      </c>
      <c r="X93" s="155">
        <v>94</v>
      </c>
      <c r="Y93" s="155">
        <v>94.3</v>
      </c>
      <c r="Z93" s="155">
        <v>94.3</v>
      </c>
      <c r="AA93" s="155"/>
      <c r="AB93" s="160">
        <v>95</v>
      </c>
      <c r="AC93" s="155"/>
      <c r="AD93" s="155"/>
      <c r="AE93" s="155"/>
      <c r="AF93" s="179"/>
      <c r="AG93" s="160">
        <v>95</v>
      </c>
      <c r="AH93" s="170"/>
      <c r="AI93" s="170"/>
      <c r="AJ93" s="136"/>
      <c r="AK93" s="137"/>
      <c r="AL93" s="577" t="s">
        <v>458</v>
      </c>
      <c r="AM93" s="634" t="s">
        <v>146</v>
      </c>
      <c r="AN93" s="634" t="s">
        <v>146</v>
      </c>
      <c r="AO93" s="634" t="s">
        <v>349</v>
      </c>
      <c r="AP93" s="636" t="s">
        <v>459</v>
      </c>
    </row>
    <row r="94" spans="1:42" s="5" customFormat="1" ht="66.75" customHeight="1" x14ac:dyDescent="0.25">
      <c r="A94" s="665"/>
      <c r="B94" s="619"/>
      <c r="C94" s="622"/>
      <c r="D94" s="597"/>
      <c r="E94" s="597"/>
      <c r="F94" s="597"/>
      <c r="G94" s="138" t="s">
        <v>10</v>
      </c>
      <c r="H94" s="146">
        <f>K94+P94+U94+V94+AA94</f>
        <v>1118795678.5799999</v>
      </c>
      <c r="I94" s="146"/>
      <c r="J94" s="146">
        <v>156396667</v>
      </c>
      <c r="K94" s="146">
        <v>152096667</v>
      </c>
      <c r="L94" s="146">
        <v>431900000</v>
      </c>
      <c r="M94" s="146">
        <v>317590833</v>
      </c>
      <c r="N94" s="146">
        <v>317590833</v>
      </c>
      <c r="O94" s="146">
        <v>317590833</v>
      </c>
      <c r="P94" s="156">
        <v>300027399.57999998</v>
      </c>
      <c r="Q94" s="146">
        <v>431900000</v>
      </c>
      <c r="R94" s="146">
        <v>431900000</v>
      </c>
      <c r="S94" s="146">
        <v>416940000</v>
      </c>
      <c r="T94" s="146">
        <v>342807143</v>
      </c>
      <c r="U94" s="146">
        <v>328467612</v>
      </c>
      <c r="V94" s="66">
        <v>338204000</v>
      </c>
      <c r="W94" s="146">
        <v>338204000</v>
      </c>
      <c r="X94" s="146">
        <v>338204000</v>
      </c>
      <c r="Y94" s="146">
        <v>287606218</v>
      </c>
      <c r="Z94" s="146">
        <v>287606218</v>
      </c>
      <c r="AA94" s="146"/>
      <c r="AB94" s="216">
        <v>335567000</v>
      </c>
      <c r="AC94" s="146"/>
      <c r="AD94" s="146"/>
      <c r="AE94" s="146"/>
      <c r="AF94" s="162"/>
      <c r="AG94" s="217">
        <v>48758989</v>
      </c>
      <c r="AH94" s="156"/>
      <c r="AI94" s="156"/>
      <c r="AJ94" s="136"/>
      <c r="AK94" s="144"/>
      <c r="AL94" s="578"/>
      <c r="AM94" s="635"/>
      <c r="AN94" s="635"/>
      <c r="AO94" s="635"/>
      <c r="AP94" s="637"/>
    </row>
    <row r="95" spans="1:42" s="5" customFormat="1" ht="53.25" customHeight="1" x14ac:dyDescent="0.25">
      <c r="A95" s="665"/>
      <c r="B95" s="619"/>
      <c r="C95" s="622"/>
      <c r="D95" s="597"/>
      <c r="E95" s="597"/>
      <c r="F95" s="597"/>
      <c r="G95" s="138" t="s">
        <v>11</v>
      </c>
      <c r="H95" s="171"/>
      <c r="I95" s="171"/>
      <c r="J95" s="171"/>
      <c r="K95" s="171"/>
      <c r="L95" s="171"/>
      <c r="M95" s="171"/>
      <c r="N95" s="171"/>
      <c r="O95" s="171"/>
      <c r="P95" s="108"/>
      <c r="Q95" s="171"/>
      <c r="R95" s="171"/>
      <c r="S95" s="171"/>
      <c r="T95" s="171"/>
      <c r="U95" s="171"/>
      <c r="V95" s="69"/>
      <c r="W95" s="129"/>
      <c r="X95" s="129"/>
      <c r="Y95" s="171"/>
      <c r="Z95" s="171"/>
      <c r="AA95" s="171"/>
      <c r="AB95" s="219"/>
      <c r="AC95" s="171"/>
      <c r="AD95" s="171"/>
      <c r="AE95" s="171"/>
      <c r="AF95" s="172"/>
      <c r="AG95" s="219"/>
      <c r="AH95" s="108"/>
      <c r="AI95" s="108"/>
      <c r="AJ95" s="140"/>
      <c r="AK95" s="144"/>
      <c r="AL95" s="578"/>
      <c r="AM95" s="635"/>
      <c r="AN95" s="635"/>
      <c r="AO95" s="635"/>
      <c r="AP95" s="637"/>
    </row>
    <row r="96" spans="1:42" s="5" customFormat="1" ht="62.25" customHeight="1" thickBot="1" x14ac:dyDescent="0.3">
      <c r="A96" s="665"/>
      <c r="B96" s="619"/>
      <c r="C96" s="622"/>
      <c r="D96" s="597"/>
      <c r="E96" s="597"/>
      <c r="F96" s="597"/>
      <c r="G96" s="138" t="s">
        <v>12</v>
      </c>
      <c r="H96" s="171"/>
      <c r="I96" s="171"/>
      <c r="J96" s="171"/>
      <c r="K96" s="171"/>
      <c r="L96" s="225">
        <v>67187900</v>
      </c>
      <c r="M96" s="225">
        <v>67187900</v>
      </c>
      <c r="N96" s="225">
        <v>67187900</v>
      </c>
      <c r="O96" s="225">
        <v>67187900</v>
      </c>
      <c r="P96" s="156">
        <v>67187900</v>
      </c>
      <c r="Q96" s="156">
        <v>103885635</v>
      </c>
      <c r="R96" s="156">
        <v>103885635</v>
      </c>
      <c r="S96" s="156">
        <v>103885635</v>
      </c>
      <c r="T96" s="156">
        <v>103885635</v>
      </c>
      <c r="U96" s="171">
        <v>103885635</v>
      </c>
      <c r="V96" s="66">
        <v>113688000</v>
      </c>
      <c r="W96" s="129">
        <v>113688000</v>
      </c>
      <c r="X96" s="129">
        <v>113688000</v>
      </c>
      <c r="Y96" s="181">
        <v>113688000</v>
      </c>
      <c r="Z96" s="171">
        <v>113688000</v>
      </c>
      <c r="AA96" s="171"/>
      <c r="AB96" s="217">
        <v>130356845</v>
      </c>
      <c r="AC96" s="171"/>
      <c r="AD96" s="171"/>
      <c r="AE96" s="171"/>
      <c r="AF96" s="162"/>
      <c r="AG96" s="217">
        <v>34058695</v>
      </c>
      <c r="AH96" s="156"/>
      <c r="AI96" s="156"/>
      <c r="AJ96" s="140"/>
      <c r="AK96" s="144"/>
      <c r="AL96" s="578"/>
      <c r="AM96" s="635"/>
      <c r="AN96" s="635"/>
      <c r="AO96" s="635"/>
      <c r="AP96" s="637"/>
    </row>
    <row r="97" spans="1:42" s="5" customFormat="1" ht="54.75" customHeight="1" x14ac:dyDescent="0.25">
      <c r="A97" s="665"/>
      <c r="B97" s="619"/>
      <c r="C97" s="622"/>
      <c r="D97" s="597"/>
      <c r="E97" s="597"/>
      <c r="F97" s="597"/>
      <c r="G97" s="138" t="s">
        <v>13</v>
      </c>
      <c r="H97" s="176">
        <f>+H93</f>
        <v>95</v>
      </c>
      <c r="I97" s="176"/>
      <c r="J97" s="176">
        <v>76</v>
      </c>
      <c r="K97" s="176">
        <f t="shared" ref="K97:P97" si="24">+K93</f>
        <v>76</v>
      </c>
      <c r="L97" s="70">
        <f t="shared" si="24"/>
        <v>92.7</v>
      </c>
      <c r="M97" s="176" t="str">
        <f t="shared" si="24"/>
        <v>92.7</v>
      </c>
      <c r="N97" s="176" t="str">
        <f t="shared" si="24"/>
        <v>92.7</v>
      </c>
      <c r="O97" s="176" t="str">
        <f t="shared" si="24"/>
        <v>92.7</v>
      </c>
      <c r="P97" s="125">
        <f t="shared" si="24"/>
        <v>93.8</v>
      </c>
      <c r="Q97" s="176">
        <f>+Q93</f>
        <v>93</v>
      </c>
      <c r="R97" s="176">
        <f>+R93</f>
        <v>93</v>
      </c>
      <c r="S97" s="176">
        <v>93</v>
      </c>
      <c r="T97" s="176">
        <v>93</v>
      </c>
      <c r="U97" s="176">
        <v>89</v>
      </c>
      <c r="V97" s="70">
        <f>+V93</f>
        <v>94</v>
      </c>
      <c r="W97" s="176">
        <v>94</v>
      </c>
      <c r="X97" s="176">
        <v>94</v>
      </c>
      <c r="Y97" s="176">
        <v>94.3</v>
      </c>
      <c r="Z97" s="176">
        <v>94.3</v>
      </c>
      <c r="AA97" s="155"/>
      <c r="AB97" s="163">
        <v>95</v>
      </c>
      <c r="AC97" s="176"/>
      <c r="AD97" s="176"/>
      <c r="AE97" s="176"/>
      <c r="AF97" s="182"/>
      <c r="AG97" s="133">
        <v>95</v>
      </c>
      <c r="AH97" s="125"/>
      <c r="AI97" s="125"/>
      <c r="AJ97" s="140"/>
      <c r="AK97" s="144"/>
      <c r="AL97" s="578"/>
      <c r="AM97" s="635"/>
      <c r="AN97" s="635"/>
      <c r="AO97" s="635"/>
      <c r="AP97" s="637"/>
    </row>
    <row r="98" spans="1:42" s="5" customFormat="1" ht="63.75" customHeight="1" thickBot="1" x14ac:dyDescent="0.3">
      <c r="A98" s="665"/>
      <c r="B98" s="629"/>
      <c r="C98" s="623"/>
      <c r="D98" s="598"/>
      <c r="E98" s="598"/>
      <c r="F98" s="598"/>
      <c r="G98" s="148" t="s">
        <v>14</v>
      </c>
      <c r="H98" s="178">
        <f>+H94</f>
        <v>1118795678.5799999</v>
      </c>
      <c r="I98" s="178"/>
      <c r="J98" s="178">
        <v>156000000</v>
      </c>
      <c r="K98" s="178">
        <f>+K94</f>
        <v>152096667</v>
      </c>
      <c r="L98" s="178">
        <f t="shared" ref="L98:Q98" si="25">+L94+L96</f>
        <v>499087900</v>
      </c>
      <c r="M98" s="178">
        <f t="shared" si="25"/>
        <v>384778733</v>
      </c>
      <c r="N98" s="178">
        <f t="shared" si="25"/>
        <v>384778733</v>
      </c>
      <c r="O98" s="178">
        <f t="shared" si="25"/>
        <v>384778733</v>
      </c>
      <c r="P98" s="150">
        <f t="shared" si="25"/>
        <v>367215299.57999998</v>
      </c>
      <c r="Q98" s="178">
        <f t="shared" si="25"/>
        <v>535785635</v>
      </c>
      <c r="R98" s="178">
        <f>+R94+R96</f>
        <v>535785635</v>
      </c>
      <c r="S98" s="178">
        <v>520825635</v>
      </c>
      <c r="T98" s="178">
        <v>446692778</v>
      </c>
      <c r="U98" s="178">
        <v>432353247</v>
      </c>
      <c r="V98" s="68">
        <f>+V94+V96</f>
        <v>451892000</v>
      </c>
      <c r="W98" s="178">
        <v>451892000</v>
      </c>
      <c r="X98" s="178">
        <v>451892000</v>
      </c>
      <c r="Y98" s="178">
        <v>401294218</v>
      </c>
      <c r="Z98" s="178">
        <v>401294218</v>
      </c>
      <c r="AA98" s="146"/>
      <c r="AB98" s="228">
        <v>465923845</v>
      </c>
      <c r="AC98" s="178"/>
      <c r="AD98" s="178"/>
      <c r="AE98" s="178"/>
      <c r="AF98" s="159"/>
      <c r="AG98" s="228">
        <v>82817684</v>
      </c>
      <c r="AH98" s="150"/>
      <c r="AI98" s="150"/>
      <c r="AJ98" s="151"/>
      <c r="AK98" s="152"/>
      <c r="AL98" s="579"/>
      <c r="AM98" s="624"/>
      <c r="AN98" s="624"/>
      <c r="AO98" s="624"/>
      <c r="AP98" s="638"/>
    </row>
    <row r="99" spans="1:42" s="5" customFormat="1" ht="45" customHeight="1" x14ac:dyDescent="0.25">
      <c r="A99" s="665" t="s">
        <v>192</v>
      </c>
      <c r="B99" s="599">
        <v>16</v>
      </c>
      <c r="C99" s="626" t="s">
        <v>163</v>
      </c>
      <c r="D99" s="596" t="s">
        <v>114</v>
      </c>
      <c r="E99" s="596">
        <v>313</v>
      </c>
      <c r="F99" s="596">
        <v>183</v>
      </c>
      <c r="G99" s="134" t="s">
        <v>9</v>
      </c>
      <c r="H99" s="155">
        <v>500</v>
      </c>
      <c r="I99" s="155"/>
      <c r="J99" s="155">
        <v>80</v>
      </c>
      <c r="K99" s="155">
        <v>80</v>
      </c>
      <c r="L99" s="155">
        <v>130</v>
      </c>
      <c r="M99" s="155">
        <v>130</v>
      </c>
      <c r="N99" s="155">
        <v>130</v>
      </c>
      <c r="O99" s="155">
        <v>130</v>
      </c>
      <c r="P99" s="183">
        <v>91</v>
      </c>
      <c r="Q99" s="155">
        <v>161</v>
      </c>
      <c r="R99" s="155">
        <v>161</v>
      </c>
      <c r="S99" s="155">
        <v>161</v>
      </c>
      <c r="T99" s="155">
        <v>161</v>
      </c>
      <c r="U99" s="155">
        <v>161</v>
      </c>
      <c r="V99" s="65">
        <v>450</v>
      </c>
      <c r="W99" s="155">
        <v>450</v>
      </c>
      <c r="X99" s="155">
        <v>450</v>
      </c>
      <c r="Y99" s="155">
        <v>450</v>
      </c>
      <c r="Z99" s="155">
        <v>438</v>
      </c>
      <c r="AA99" s="155"/>
      <c r="AB99" s="160">
        <v>500</v>
      </c>
      <c r="AC99" s="155"/>
      <c r="AD99" s="155"/>
      <c r="AE99" s="155"/>
      <c r="AF99" s="179"/>
      <c r="AG99" s="160">
        <v>500</v>
      </c>
      <c r="AH99" s="183"/>
      <c r="AI99" s="183"/>
      <c r="AJ99" s="140"/>
      <c r="AK99" s="137"/>
      <c r="AL99" s="577" t="s">
        <v>475</v>
      </c>
      <c r="AM99" s="608"/>
      <c r="AN99" s="608"/>
      <c r="AO99" s="577" t="s">
        <v>357</v>
      </c>
      <c r="AP99" s="580" t="s">
        <v>460</v>
      </c>
    </row>
    <row r="100" spans="1:42" s="5" customFormat="1" ht="36" customHeight="1" x14ac:dyDescent="0.25">
      <c r="A100" s="665"/>
      <c r="B100" s="600"/>
      <c r="C100" s="622"/>
      <c r="D100" s="597"/>
      <c r="E100" s="597"/>
      <c r="F100" s="597"/>
      <c r="G100" s="138" t="s">
        <v>10</v>
      </c>
      <c r="H100" s="146">
        <f>K100+P100+U100+V100+AA100</f>
        <v>2989939003</v>
      </c>
      <c r="I100" s="146"/>
      <c r="J100" s="146">
        <v>149200000</v>
      </c>
      <c r="K100" s="146">
        <v>78628003</v>
      </c>
      <c r="L100" s="146">
        <v>1230862000</v>
      </c>
      <c r="M100" s="146">
        <v>1230862000</v>
      </c>
      <c r="N100" s="146">
        <v>1230862000</v>
      </c>
      <c r="O100" s="146">
        <v>1230862000</v>
      </c>
      <c r="P100" s="156">
        <v>410460000</v>
      </c>
      <c r="Q100" s="156">
        <v>1377082000</v>
      </c>
      <c r="R100" s="156">
        <v>1377082000</v>
      </c>
      <c r="S100" s="156">
        <v>1377082000</v>
      </c>
      <c r="T100" s="156">
        <v>1376775969</v>
      </c>
      <c r="U100" s="146">
        <v>1364352000</v>
      </c>
      <c r="V100" s="66">
        <v>1136499000</v>
      </c>
      <c r="W100" s="146">
        <v>1136499000</v>
      </c>
      <c r="X100" s="146">
        <v>1136499000</v>
      </c>
      <c r="Y100" s="146">
        <v>1158889483</v>
      </c>
      <c r="Z100" s="146">
        <v>1092914399</v>
      </c>
      <c r="AA100" s="146"/>
      <c r="AB100" s="216">
        <v>562600000</v>
      </c>
      <c r="AC100" s="146"/>
      <c r="AD100" s="146"/>
      <c r="AE100" s="146"/>
      <c r="AF100" s="145"/>
      <c r="AG100" s="217">
        <v>93682775</v>
      </c>
      <c r="AH100" s="156"/>
      <c r="AI100" s="156"/>
      <c r="AJ100" s="140"/>
      <c r="AK100" s="144"/>
      <c r="AL100" s="578"/>
      <c r="AM100" s="609"/>
      <c r="AN100" s="609"/>
      <c r="AO100" s="578"/>
      <c r="AP100" s="581"/>
    </row>
    <row r="101" spans="1:42" s="5" customFormat="1" ht="40.5" customHeight="1" x14ac:dyDescent="0.25">
      <c r="A101" s="665"/>
      <c r="B101" s="600"/>
      <c r="C101" s="622"/>
      <c r="D101" s="597"/>
      <c r="E101" s="597"/>
      <c r="F101" s="597"/>
      <c r="G101" s="138" t="s">
        <v>11</v>
      </c>
      <c r="H101" s="171"/>
      <c r="I101" s="171"/>
      <c r="J101" s="171"/>
      <c r="K101" s="171"/>
      <c r="L101" s="171"/>
      <c r="M101" s="171"/>
      <c r="N101" s="171"/>
      <c r="O101" s="171"/>
      <c r="P101" s="173"/>
      <c r="Q101" s="171"/>
      <c r="R101" s="171"/>
      <c r="S101" s="171"/>
      <c r="T101" s="171"/>
      <c r="U101" s="171"/>
      <c r="V101" s="184"/>
      <c r="W101" s="129"/>
      <c r="X101" s="129"/>
      <c r="Y101" s="171"/>
      <c r="Z101" s="171"/>
      <c r="AA101" s="171"/>
      <c r="AB101" s="219"/>
      <c r="AC101" s="171"/>
      <c r="AD101" s="171"/>
      <c r="AE101" s="171"/>
      <c r="AF101" s="172"/>
      <c r="AG101" s="219"/>
      <c r="AH101" s="173"/>
      <c r="AI101" s="173"/>
      <c r="AJ101" s="140"/>
      <c r="AK101" s="144"/>
      <c r="AL101" s="578"/>
      <c r="AM101" s="609"/>
      <c r="AN101" s="609"/>
      <c r="AO101" s="578"/>
      <c r="AP101" s="581"/>
    </row>
    <row r="102" spans="1:42" s="5" customFormat="1" ht="33" customHeight="1" x14ac:dyDescent="0.25">
      <c r="A102" s="665"/>
      <c r="B102" s="600"/>
      <c r="C102" s="622"/>
      <c r="D102" s="597"/>
      <c r="E102" s="597"/>
      <c r="F102" s="597"/>
      <c r="G102" s="138" t="s">
        <v>12</v>
      </c>
      <c r="H102" s="175"/>
      <c r="I102" s="175"/>
      <c r="J102" s="175"/>
      <c r="K102" s="175"/>
      <c r="L102" s="175">
        <v>50028003</v>
      </c>
      <c r="M102" s="175">
        <v>50028003</v>
      </c>
      <c r="N102" s="175">
        <v>50028003</v>
      </c>
      <c r="O102" s="175">
        <v>50028003</v>
      </c>
      <c r="P102" s="156">
        <v>50028003</v>
      </c>
      <c r="Q102" s="156">
        <v>248828667</v>
      </c>
      <c r="R102" s="156">
        <v>248828667</v>
      </c>
      <c r="S102" s="156">
        <v>248828667</v>
      </c>
      <c r="T102" s="156">
        <v>248828667</v>
      </c>
      <c r="U102" s="175">
        <v>248828667</v>
      </c>
      <c r="V102" s="69">
        <v>1147005000</v>
      </c>
      <c r="W102" s="174">
        <v>1147005000</v>
      </c>
      <c r="X102" s="174">
        <v>1147005000</v>
      </c>
      <c r="Y102" s="175">
        <v>1147005000</v>
      </c>
      <c r="Z102" s="175">
        <v>1147005000</v>
      </c>
      <c r="AA102" s="175"/>
      <c r="AB102" s="217">
        <v>396174434</v>
      </c>
      <c r="AC102" s="175"/>
      <c r="AD102" s="175"/>
      <c r="AE102" s="175"/>
      <c r="AF102" s="162"/>
      <c r="AG102" s="217">
        <v>258651982</v>
      </c>
      <c r="AH102" s="156"/>
      <c r="AI102" s="156"/>
      <c r="AJ102" s="140"/>
      <c r="AK102" s="144"/>
      <c r="AL102" s="578"/>
      <c r="AM102" s="609"/>
      <c r="AN102" s="609"/>
      <c r="AO102" s="578"/>
      <c r="AP102" s="581"/>
    </row>
    <row r="103" spans="1:42" s="5" customFormat="1" ht="36" customHeight="1" x14ac:dyDescent="0.25">
      <c r="A103" s="665"/>
      <c r="B103" s="600"/>
      <c r="C103" s="622"/>
      <c r="D103" s="597"/>
      <c r="E103" s="597"/>
      <c r="F103" s="597"/>
      <c r="G103" s="138" t="s">
        <v>13</v>
      </c>
      <c r="H103" s="176">
        <f>+H99</f>
        <v>500</v>
      </c>
      <c r="I103" s="176"/>
      <c r="J103" s="176">
        <f t="shared" ref="J103:O103" si="26">+J99</f>
        <v>80</v>
      </c>
      <c r="K103" s="176">
        <f t="shared" si="26"/>
        <v>80</v>
      </c>
      <c r="L103" s="176">
        <f t="shared" si="26"/>
        <v>130</v>
      </c>
      <c r="M103" s="176">
        <f t="shared" si="26"/>
        <v>130</v>
      </c>
      <c r="N103" s="176">
        <f t="shared" si="26"/>
        <v>130</v>
      </c>
      <c r="O103" s="176">
        <f t="shared" si="26"/>
        <v>130</v>
      </c>
      <c r="P103" s="173">
        <f>+P99+P101</f>
        <v>91</v>
      </c>
      <c r="Q103" s="176">
        <f>+Q99</f>
        <v>161</v>
      </c>
      <c r="R103" s="176">
        <f>+R99</f>
        <v>161</v>
      </c>
      <c r="S103" s="176">
        <v>161</v>
      </c>
      <c r="T103" s="176">
        <v>161</v>
      </c>
      <c r="U103" s="176">
        <v>161</v>
      </c>
      <c r="V103" s="70">
        <f>+V99</f>
        <v>450</v>
      </c>
      <c r="W103" s="176">
        <v>450</v>
      </c>
      <c r="X103" s="176">
        <v>450</v>
      </c>
      <c r="Y103" s="176">
        <v>450</v>
      </c>
      <c r="Z103" s="176">
        <v>438</v>
      </c>
      <c r="AA103" s="176"/>
      <c r="AB103" s="163">
        <v>500</v>
      </c>
      <c r="AC103" s="176"/>
      <c r="AD103" s="176"/>
      <c r="AE103" s="176"/>
      <c r="AF103" s="182"/>
      <c r="AG103" s="133">
        <v>500</v>
      </c>
      <c r="AH103" s="173"/>
      <c r="AI103" s="173"/>
      <c r="AJ103" s="140"/>
      <c r="AK103" s="144"/>
      <c r="AL103" s="578"/>
      <c r="AM103" s="609"/>
      <c r="AN103" s="609"/>
      <c r="AO103" s="578"/>
      <c r="AP103" s="581"/>
    </row>
    <row r="104" spans="1:42" s="5" customFormat="1" ht="49.5" customHeight="1" thickBot="1" x14ac:dyDescent="0.3">
      <c r="A104" s="665"/>
      <c r="B104" s="625"/>
      <c r="C104" s="627"/>
      <c r="D104" s="607"/>
      <c r="E104" s="607"/>
      <c r="F104" s="607"/>
      <c r="G104" s="191" t="s">
        <v>14</v>
      </c>
      <c r="H104" s="246">
        <f>+H100</f>
        <v>2989939003</v>
      </c>
      <c r="I104" s="178"/>
      <c r="J104" s="178">
        <f>+J100</f>
        <v>149200000</v>
      </c>
      <c r="K104" s="246">
        <f>+K100</f>
        <v>78628003</v>
      </c>
      <c r="L104" s="246">
        <f>+L100+L102</f>
        <v>1280890003</v>
      </c>
      <c r="M104" s="246">
        <f>+M100+M102</f>
        <v>1280890003</v>
      </c>
      <c r="N104" s="246">
        <f>+N100+N102</f>
        <v>1280890003</v>
      </c>
      <c r="O104" s="246">
        <f>+O100+O102</f>
        <v>1280890003</v>
      </c>
      <c r="P104" s="150">
        <f>+P100+P102</f>
        <v>460488003</v>
      </c>
      <c r="Q104" s="246">
        <f>+Q100+Q102</f>
        <v>1625910667</v>
      </c>
      <c r="R104" s="246">
        <f>+R100+R102</f>
        <v>1625910667</v>
      </c>
      <c r="S104" s="246">
        <v>1625910667</v>
      </c>
      <c r="T104" s="246">
        <v>1625604636</v>
      </c>
      <c r="U104" s="178">
        <v>1613180667</v>
      </c>
      <c r="V104" s="192">
        <f>+V100+V102</f>
        <v>2283504000</v>
      </c>
      <c r="W104" s="246">
        <v>2283504000</v>
      </c>
      <c r="X104" s="246">
        <v>2283504000</v>
      </c>
      <c r="Y104" s="246">
        <v>2305894483</v>
      </c>
      <c r="Z104" s="178">
        <v>2239919399</v>
      </c>
      <c r="AA104" s="246"/>
      <c r="AB104" s="228">
        <v>958774434</v>
      </c>
      <c r="AC104" s="246"/>
      <c r="AD104" s="246"/>
      <c r="AE104" s="178"/>
      <c r="AF104" s="159"/>
      <c r="AG104" s="228">
        <v>352334757</v>
      </c>
      <c r="AH104" s="150"/>
      <c r="AI104" s="150"/>
      <c r="AJ104" s="151"/>
      <c r="AK104" s="152"/>
      <c r="AL104" s="579"/>
      <c r="AM104" s="610"/>
      <c r="AN104" s="610"/>
      <c r="AO104" s="579"/>
      <c r="AP104" s="582"/>
    </row>
    <row r="105" spans="1:42" s="5" customFormat="1" ht="63.75" customHeight="1" x14ac:dyDescent="0.25">
      <c r="A105" s="667"/>
      <c r="B105" s="618">
        <v>17</v>
      </c>
      <c r="C105" s="621" t="s">
        <v>164</v>
      </c>
      <c r="D105" s="624" t="s">
        <v>114</v>
      </c>
      <c r="E105" s="624">
        <v>303</v>
      </c>
      <c r="F105" s="624">
        <v>179</v>
      </c>
      <c r="G105" s="193" t="s">
        <v>9</v>
      </c>
      <c r="H105" s="247">
        <v>100</v>
      </c>
      <c r="I105" s="155"/>
      <c r="J105" s="65">
        <v>10</v>
      </c>
      <c r="K105" s="65">
        <v>1.5</v>
      </c>
      <c r="L105" s="155">
        <v>42</v>
      </c>
      <c r="M105" s="155">
        <v>42</v>
      </c>
      <c r="N105" s="155">
        <v>42</v>
      </c>
      <c r="O105" s="155">
        <v>42</v>
      </c>
      <c r="P105" s="183">
        <v>42</v>
      </c>
      <c r="Q105" s="155">
        <v>51</v>
      </c>
      <c r="R105" s="155">
        <v>51</v>
      </c>
      <c r="S105" s="155">
        <v>51</v>
      </c>
      <c r="T105" s="155">
        <v>64.2</v>
      </c>
      <c r="U105" s="155">
        <v>64.900000000000006</v>
      </c>
      <c r="V105" s="65">
        <v>90</v>
      </c>
      <c r="W105" s="155">
        <v>90</v>
      </c>
      <c r="X105" s="155">
        <v>90</v>
      </c>
      <c r="Y105" s="155">
        <v>90</v>
      </c>
      <c r="Z105" s="155">
        <v>115.15</v>
      </c>
      <c r="AA105" s="155"/>
      <c r="AB105" s="160">
        <v>120</v>
      </c>
      <c r="AC105" s="155"/>
      <c r="AD105" s="155"/>
      <c r="AE105" s="155"/>
      <c r="AF105" s="183"/>
      <c r="AG105" s="160">
        <v>130.65</v>
      </c>
      <c r="AH105" s="183"/>
      <c r="AI105" s="183"/>
      <c r="AJ105" s="140"/>
      <c r="AK105" s="137"/>
      <c r="AL105" s="577" t="s">
        <v>476</v>
      </c>
      <c r="AM105" s="608"/>
      <c r="AN105" s="608"/>
      <c r="AO105" s="577" t="s">
        <v>398</v>
      </c>
      <c r="AP105" s="580" t="s">
        <v>399</v>
      </c>
    </row>
    <row r="106" spans="1:42" s="5" customFormat="1" ht="66.75" customHeight="1" x14ac:dyDescent="0.25">
      <c r="A106" s="667"/>
      <c r="B106" s="619"/>
      <c r="C106" s="622"/>
      <c r="D106" s="597"/>
      <c r="E106" s="597"/>
      <c r="F106" s="597"/>
      <c r="G106" s="194" t="s">
        <v>10</v>
      </c>
      <c r="H106" s="146">
        <f>K106+P106+U106+V106+AG106</f>
        <v>1716021054</v>
      </c>
      <c r="I106" s="146"/>
      <c r="J106" s="146">
        <v>353763094</v>
      </c>
      <c r="K106" s="146">
        <v>307026667</v>
      </c>
      <c r="L106" s="146">
        <v>1152953711</v>
      </c>
      <c r="M106" s="146">
        <v>1152953711</v>
      </c>
      <c r="N106" s="146">
        <v>1152953711</v>
      </c>
      <c r="O106" s="146">
        <v>1152953711</v>
      </c>
      <c r="P106" s="156">
        <v>431281049</v>
      </c>
      <c r="Q106" s="146">
        <v>487637000</v>
      </c>
      <c r="R106" s="146">
        <v>487637000</v>
      </c>
      <c r="S106" s="146">
        <v>423804002</v>
      </c>
      <c r="T106" s="146">
        <v>360079790</v>
      </c>
      <c r="U106" s="146">
        <v>357815020</v>
      </c>
      <c r="V106" s="66">
        <v>584994000</v>
      </c>
      <c r="W106" s="146">
        <v>584994000</v>
      </c>
      <c r="X106" s="146">
        <v>484994000</v>
      </c>
      <c r="Y106" s="146">
        <v>494036026</v>
      </c>
      <c r="Z106" s="146">
        <v>488484241</v>
      </c>
      <c r="AA106" s="146"/>
      <c r="AB106" s="216">
        <v>540817000</v>
      </c>
      <c r="AC106" s="146"/>
      <c r="AD106" s="146"/>
      <c r="AE106" s="146"/>
      <c r="AF106" s="145"/>
      <c r="AG106" s="217">
        <v>34904318</v>
      </c>
      <c r="AH106" s="156"/>
      <c r="AI106" s="156"/>
      <c r="AJ106" s="140"/>
      <c r="AK106" s="144"/>
      <c r="AL106" s="578"/>
      <c r="AM106" s="609"/>
      <c r="AN106" s="609"/>
      <c r="AO106" s="578"/>
      <c r="AP106" s="581"/>
    </row>
    <row r="107" spans="1:42" s="5" customFormat="1" ht="53.25" customHeight="1" x14ac:dyDescent="0.25">
      <c r="A107" s="667"/>
      <c r="B107" s="619"/>
      <c r="C107" s="622"/>
      <c r="D107" s="597"/>
      <c r="E107" s="597"/>
      <c r="F107" s="597"/>
      <c r="G107" s="194" t="s">
        <v>11</v>
      </c>
      <c r="H107" s="248"/>
      <c r="I107" s="171"/>
      <c r="J107" s="171"/>
      <c r="K107" s="171"/>
      <c r="L107" s="129"/>
      <c r="M107" s="129"/>
      <c r="N107" s="129"/>
      <c r="O107" s="129"/>
      <c r="P107" s="242"/>
      <c r="Q107" s="171"/>
      <c r="R107" s="171"/>
      <c r="S107" s="171"/>
      <c r="T107" s="171"/>
      <c r="U107" s="171"/>
      <c r="V107" s="69"/>
      <c r="W107" s="129"/>
      <c r="X107" s="129"/>
      <c r="Y107" s="171"/>
      <c r="Z107" s="171"/>
      <c r="AA107" s="171"/>
      <c r="AB107" s="219"/>
      <c r="AC107" s="171"/>
      <c r="AD107" s="171"/>
      <c r="AE107" s="171"/>
      <c r="AF107" s="195"/>
      <c r="AG107" s="219"/>
      <c r="AH107" s="242"/>
      <c r="AI107" s="242"/>
      <c r="AJ107" s="140"/>
      <c r="AK107" s="144"/>
      <c r="AL107" s="578"/>
      <c r="AM107" s="609"/>
      <c r="AN107" s="609"/>
      <c r="AO107" s="578"/>
      <c r="AP107" s="581"/>
    </row>
    <row r="108" spans="1:42" s="5" customFormat="1" ht="62.25" customHeight="1" x14ac:dyDescent="0.25">
      <c r="A108" s="667"/>
      <c r="B108" s="619"/>
      <c r="C108" s="622"/>
      <c r="D108" s="597"/>
      <c r="E108" s="597"/>
      <c r="F108" s="597"/>
      <c r="G108" s="194" t="s">
        <v>12</v>
      </c>
      <c r="H108" s="248"/>
      <c r="I108" s="171"/>
      <c r="J108" s="171"/>
      <c r="K108" s="171"/>
      <c r="L108" s="225">
        <v>96208333</v>
      </c>
      <c r="M108" s="225">
        <v>96208333</v>
      </c>
      <c r="N108" s="225">
        <v>96208333</v>
      </c>
      <c r="O108" s="225">
        <v>96208333</v>
      </c>
      <c r="P108" s="156">
        <v>4433000</v>
      </c>
      <c r="Q108" s="156">
        <v>306466667</v>
      </c>
      <c r="R108" s="156">
        <v>306466667</v>
      </c>
      <c r="S108" s="156">
        <v>306466667</v>
      </c>
      <c r="T108" s="156">
        <v>306466667</v>
      </c>
      <c r="U108" s="171">
        <v>291789727</v>
      </c>
      <c r="V108" s="196">
        <v>246589276.33333299</v>
      </c>
      <c r="W108" s="129">
        <v>246589276.33333299</v>
      </c>
      <c r="X108" s="147">
        <v>246589276.33333299</v>
      </c>
      <c r="Y108" s="181">
        <v>246589276</v>
      </c>
      <c r="Z108" s="171">
        <v>246589276.33333331</v>
      </c>
      <c r="AA108" s="171"/>
      <c r="AB108" s="217">
        <v>260388218</v>
      </c>
      <c r="AC108" s="171"/>
      <c r="AD108" s="171"/>
      <c r="AE108" s="171"/>
      <c r="AF108" s="162"/>
      <c r="AG108" s="217">
        <v>113232625</v>
      </c>
      <c r="AH108" s="156"/>
      <c r="AI108" s="156"/>
      <c r="AJ108" s="140"/>
      <c r="AK108" s="144"/>
      <c r="AL108" s="578"/>
      <c r="AM108" s="609"/>
      <c r="AN108" s="609"/>
      <c r="AO108" s="578"/>
      <c r="AP108" s="581"/>
    </row>
    <row r="109" spans="1:42" s="5" customFormat="1" ht="54.75" customHeight="1" x14ac:dyDescent="0.25">
      <c r="A109" s="667"/>
      <c r="B109" s="619"/>
      <c r="C109" s="622"/>
      <c r="D109" s="597"/>
      <c r="E109" s="597"/>
      <c r="F109" s="597"/>
      <c r="G109" s="194" t="s">
        <v>13</v>
      </c>
      <c r="H109" s="249">
        <f>+H105</f>
        <v>100</v>
      </c>
      <c r="I109" s="176"/>
      <c r="J109" s="221">
        <v>10</v>
      </c>
      <c r="K109" s="176">
        <f>+K105</f>
        <v>1.5</v>
      </c>
      <c r="L109" s="176">
        <f>+L105</f>
        <v>42</v>
      </c>
      <c r="M109" s="176">
        <f>+M105</f>
        <v>42</v>
      </c>
      <c r="N109" s="176">
        <f>+N105</f>
        <v>42</v>
      </c>
      <c r="O109" s="176">
        <f>+O105</f>
        <v>42</v>
      </c>
      <c r="P109" s="173">
        <f>+P105+P107</f>
        <v>42</v>
      </c>
      <c r="Q109" s="176">
        <f>+Q105</f>
        <v>51</v>
      </c>
      <c r="R109" s="176">
        <f>+R105</f>
        <v>51</v>
      </c>
      <c r="S109" s="176">
        <v>51</v>
      </c>
      <c r="T109" s="176">
        <v>64.2</v>
      </c>
      <c r="U109" s="176">
        <v>64.900000000000006</v>
      </c>
      <c r="V109" s="70">
        <f>+V105</f>
        <v>90</v>
      </c>
      <c r="W109" s="176">
        <v>90</v>
      </c>
      <c r="X109" s="176">
        <v>90</v>
      </c>
      <c r="Y109" s="176">
        <v>90</v>
      </c>
      <c r="Z109" s="176">
        <v>115.15</v>
      </c>
      <c r="AA109" s="176"/>
      <c r="AB109" s="163">
        <v>120</v>
      </c>
      <c r="AC109" s="176"/>
      <c r="AD109" s="176"/>
      <c r="AE109" s="176"/>
      <c r="AF109" s="182"/>
      <c r="AG109" s="133">
        <v>130.65</v>
      </c>
      <c r="AH109" s="173"/>
      <c r="AI109" s="173"/>
      <c r="AJ109" s="140"/>
      <c r="AK109" s="144"/>
      <c r="AL109" s="578"/>
      <c r="AM109" s="609"/>
      <c r="AN109" s="609"/>
      <c r="AO109" s="578"/>
      <c r="AP109" s="581"/>
    </row>
    <row r="110" spans="1:42" s="5" customFormat="1" ht="63.75" customHeight="1" thickBot="1" x14ac:dyDescent="0.3">
      <c r="A110" s="667"/>
      <c r="B110" s="620"/>
      <c r="C110" s="623"/>
      <c r="D110" s="598"/>
      <c r="E110" s="598"/>
      <c r="F110" s="598"/>
      <c r="G110" s="197" t="s">
        <v>14</v>
      </c>
      <c r="H110" s="250">
        <f>+H106</f>
        <v>1716021054</v>
      </c>
      <c r="I110" s="178"/>
      <c r="J110" s="215">
        <v>354000000</v>
      </c>
      <c r="K110" s="178">
        <f>+K106</f>
        <v>307026667</v>
      </c>
      <c r="L110" s="178">
        <f>+L106+L108</f>
        <v>1249162044</v>
      </c>
      <c r="M110" s="178">
        <f>+M106+M108</f>
        <v>1249162044</v>
      </c>
      <c r="N110" s="178">
        <f>+N106+N108</f>
        <v>1249162044</v>
      </c>
      <c r="O110" s="178">
        <f>+O106+O108</f>
        <v>1249162044</v>
      </c>
      <c r="P110" s="150">
        <f>+P106+P108</f>
        <v>435714049</v>
      </c>
      <c r="Q110" s="178">
        <f>+Q106+Q108</f>
        <v>794103667</v>
      </c>
      <c r="R110" s="178">
        <f>+R106+R108</f>
        <v>794103667</v>
      </c>
      <c r="S110" s="178">
        <v>730270669</v>
      </c>
      <c r="T110" s="178">
        <v>666546457</v>
      </c>
      <c r="U110" s="178">
        <v>649604747</v>
      </c>
      <c r="V110" s="68">
        <f>+V106+V108</f>
        <v>831583276.33333302</v>
      </c>
      <c r="W110" s="178">
        <v>831583276.33333302</v>
      </c>
      <c r="X110" s="178">
        <v>731583276.33333302</v>
      </c>
      <c r="Y110" s="178">
        <v>740625302</v>
      </c>
      <c r="Z110" s="178">
        <v>735073517.33333325</v>
      </c>
      <c r="AA110" s="178"/>
      <c r="AB110" s="228">
        <v>801205218</v>
      </c>
      <c r="AC110" s="178"/>
      <c r="AD110" s="178"/>
      <c r="AE110" s="178"/>
      <c r="AF110" s="159"/>
      <c r="AG110" s="228">
        <v>148136943</v>
      </c>
      <c r="AH110" s="150"/>
      <c r="AI110" s="150"/>
      <c r="AJ110" s="151"/>
      <c r="AK110" s="152"/>
      <c r="AL110" s="579"/>
      <c r="AM110" s="610"/>
      <c r="AN110" s="610"/>
      <c r="AO110" s="579"/>
      <c r="AP110" s="582"/>
    </row>
    <row r="111" spans="1:42" s="5" customFormat="1" ht="45" customHeight="1" x14ac:dyDescent="0.25">
      <c r="A111" s="667"/>
      <c r="B111" s="590">
        <v>18</v>
      </c>
      <c r="C111" s="593" t="s">
        <v>165</v>
      </c>
      <c r="D111" s="596" t="s">
        <v>114</v>
      </c>
      <c r="E111" s="596">
        <v>314</v>
      </c>
      <c r="F111" s="596">
        <v>183</v>
      </c>
      <c r="G111" s="134" t="s">
        <v>9</v>
      </c>
      <c r="H111" s="155">
        <v>2</v>
      </c>
      <c r="I111" s="155"/>
      <c r="J111" s="251">
        <v>0.2</v>
      </c>
      <c r="K111" s="155">
        <v>0</v>
      </c>
      <c r="L111" s="65">
        <v>1.2</v>
      </c>
      <c r="M111" s="65" t="s">
        <v>179</v>
      </c>
      <c r="N111" s="65" t="s">
        <v>179</v>
      </c>
      <c r="O111" s="65" t="s">
        <v>179</v>
      </c>
      <c r="P111" s="183">
        <v>1.2</v>
      </c>
      <c r="Q111" s="65">
        <v>1.5</v>
      </c>
      <c r="R111" s="65">
        <v>1.5</v>
      </c>
      <c r="S111" s="65">
        <v>1.5</v>
      </c>
      <c r="T111" s="65">
        <v>1.5</v>
      </c>
      <c r="U111" s="65">
        <v>1.5</v>
      </c>
      <c r="V111" s="65">
        <v>2</v>
      </c>
      <c r="W111" s="65">
        <v>2</v>
      </c>
      <c r="X111" s="65">
        <v>2</v>
      </c>
      <c r="Y111" s="65">
        <v>2</v>
      </c>
      <c r="Z111" s="155">
        <v>2</v>
      </c>
      <c r="AA111" s="155"/>
      <c r="AB111" s="160"/>
      <c r="AC111" s="155"/>
      <c r="AD111" s="155"/>
      <c r="AE111" s="155"/>
      <c r="AF111" s="179"/>
      <c r="AG111" s="160"/>
      <c r="AH111" s="183"/>
      <c r="AI111" s="183"/>
      <c r="AJ111" s="140"/>
      <c r="AK111" s="137"/>
      <c r="AL111" s="577" t="s">
        <v>435</v>
      </c>
      <c r="AM111" s="608"/>
      <c r="AN111" s="608"/>
      <c r="AO111" s="577"/>
      <c r="AP111" s="580"/>
    </row>
    <row r="112" spans="1:42" s="5" customFormat="1" ht="36" customHeight="1" x14ac:dyDescent="0.25">
      <c r="A112" s="667"/>
      <c r="B112" s="591"/>
      <c r="C112" s="594"/>
      <c r="D112" s="597"/>
      <c r="E112" s="597"/>
      <c r="F112" s="597"/>
      <c r="G112" s="138" t="s">
        <v>10</v>
      </c>
      <c r="H112" s="146">
        <f>K112+P112+U112+V112+AA112</f>
        <v>171476000</v>
      </c>
      <c r="I112" s="146"/>
      <c r="J112" s="146"/>
      <c r="K112" s="129">
        <v>0</v>
      </c>
      <c r="L112" s="146">
        <v>48690000</v>
      </c>
      <c r="M112" s="146">
        <v>48690000</v>
      </c>
      <c r="N112" s="146">
        <v>48690000</v>
      </c>
      <c r="O112" s="146">
        <v>48690000</v>
      </c>
      <c r="P112" s="156">
        <v>48690000</v>
      </c>
      <c r="Q112" s="146">
        <v>64800000</v>
      </c>
      <c r="R112" s="146">
        <v>64800000</v>
      </c>
      <c r="S112" s="146">
        <v>64800000</v>
      </c>
      <c r="T112" s="146">
        <v>64280000</v>
      </c>
      <c r="U112" s="146">
        <v>64280000</v>
      </c>
      <c r="V112" s="66">
        <v>58506000</v>
      </c>
      <c r="W112" s="146">
        <v>58506000</v>
      </c>
      <c r="X112" s="146">
        <v>58506000</v>
      </c>
      <c r="Y112" s="146">
        <v>60177690</v>
      </c>
      <c r="Z112" s="146">
        <v>59995097</v>
      </c>
      <c r="AA112" s="146"/>
      <c r="AB112" s="216"/>
      <c r="AC112" s="146"/>
      <c r="AD112" s="146"/>
      <c r="AE112" s="146"/>
      <c r="AF112" s="145"/>
      <c r="AG112" s="217"/>
      <c r="AH112" s="156"/>
      <c r="AI112" s="156"/>
      <c r="AJ112" s="140"/>
      <c r="AK112" s="144"/>
      <c r="AL112" s="578"/>
      <c r="AM112" s="609"/>
      <c r="AN112" s="609"/>
      <c r="AO112" s="578"/>
      <c r="AP112" s="581"/>
    </row>
    <row r="113" spans="1:42" s="5" customFormat="1" ht="40.5" customHeight="1" x14ac:dyDescent="0.25">
      <c r="A113" s="667"/>
      <c r="B113" s="591"/>
      <c r="C113" s="594"/>
      <c r="D113" s="597"/>
      <c r="E113" s="597"/>
      <c r="F113" s="597"/>
      <c r="G113" s="138" t="s">
        <v>11</v>
      </c>
      <c r="H113" s="171"/>
      <c r="I113" s="171"/>
      <c r="J113" s="171"/>
      <c r="K113" s="171">
        <f>0.3/12</f>
        <v>2.4999999999999998E-2</v>
      </c>
      <c r="L113" s="171"/>
      <c r="M113" s="171"/>
      <c r="N113" s="171"/>
      <c r="O113" s="171"/>
      <c r="P113" s="173"/>
      <c r="Q113" s="171"/>
      <c r="R113" s="171"/>
      <c r="S113" s="171"/>
      <c r="T113" s="171"/>
      <c r="U113" s="171"/>
      <c r="V113" s="69"/>
      <c r="W113" s="129"/>
      <c r="X113" s="129"/>
      <c r="Y113" s="171"/>
      <c r="Z113" s="171"/>
      <c r="AA113" s="171"/>
      <c r="AB113" s="219"/>
      <c r="AC113" s="171"/>
      <c r="AD113" s="171"/>
      <c r="AE113" s="171"/>
      <c r="AF113" s="172"/>
      <c r="AG113" s="219"/>
      <c r="AH113" s="173"/>
      <c r="AI113" s="173"/>
      <c r="AJ113" s="140"/>
      <c r="AK113" s="144"/>
      <c r="AL113" s="578"/>
      <c r="AM113" s="609"/>
      <c r="AN113" s="609"/>
      <c r="AO113" s="578"/>
      <c r="AP113" s="581"/>
    </row>
    <row r="114" spans="1:42" s="5" customFormat="1" ht="33" customHeight="1" x14ac:dyDescent="0.25">
      <c r="A114" s="667"/>
      <c r="B114" s="591"/>
      <c r="C114" s="594"/>
      <c r="D114" s="597"/>
      <c r="E114" s="597"/>
      <c r="F114" s="597"/>
      <c r="G114" s="138" t="s">
        <v>12</v>
      </c>
      <c r="H114" s="175"/>
      <c r="I114" s="175"/>
      <c r="J114" s="175"/>
      <c r="K114" s="175"/>
      <c r="L114" s="175"/>
      <c r="M114" s="175"/>
      <c r="N114" s="175"/>
      <c r="O114" s="175"/>
      <c r="P114" s="173"/>
      <c r="Q114" s="146">
        <v>6852666</v>
      </c>
      <c r="R114" s="146">
        <v>6852666</v>
      </c>
      <c r="S114" s="146">
        <v>6852666</v>
      </c>
      <c r="T114" s="146">
        <v>6852666</v>
      </c>
      <c r="U114" s="175">
        <v>6852666</v>
      </c>
      <c r="V114" s="69">
        <v>13606333</v>
      </c>
      <c r="W114" s="174">
        <v>13606333</v>
      </c>
      <c r="X114" s="174">
        <v>13606333</v>
      </c>
      <c r="Y114" s="175">
        <v>13606333</v>
      </c>
      <c r="Z114" s="175">
        <v>13606333</v>
      </c>
      <c r="AA114" s="175"/>
      <c r="AB114" s="217">
        <v>5572301</v>
      </c>
      <c r="AC114" s="175"/>
      <c r="AD114" s="175"/>
      <c r="AE114" s="175"/>
      <c r="AF114" s="198"/>
      <c r="AG114" s="217">
        <v>5572301</v>
      </c>
      <c r="AH114" s="173"/>
      <c r="AI114" s="173"/>
      <c r="AJ114" s="140"/>
      <c r="AK114" s="144"/>
      <c r="AL114" s="578"/>
      <c r="AM114" s="609"/>
      <c r="AN114" s="609"/>
      <c r="AO114" s="578"/>
      <c r="AP114" s="581"/>
    </row>
    <row r="115" spans="1:42" s="5" customFormat="1" ht="36" customHeight="1" x14ac:dyDescent="0.25">
      <c r="A115" s="667"/>
      <c r="B115" s="591"/>
      <c r="C115" s="594"/>
      <c r="D115" s="597"/>
      <c r="E115" s="597"/>
      <c r="F115" s="597"/>
      <c r="G115" s="138" t="s">
        <v>13</v>
      </c>
      <c r="H115" s="176">
        <f>+H111</f>
        <v>2</v>
      </c>
      <c r="I115" s="176"/>
      <c r="J115" s="177">
        <f>+J111</f>
        <v>0.2</v>
      </c>
      <c r="K115" s="176">
        <f t="shared" ref="K115:O116" si="27">+K111</f>
        <v>0</v>
      </c>
      <c r="L115" s="177">
        <f t="shared" si="27"/>
        <v>1.2</v>
      </c>
      <c r="M115" s="176" t="str">
        <f t="shared" si="27"/>
        <v>1.2</v>
      </c>
      <c r="N115" s="176" t="str">
        <f t="shared" si="27"/>
        <v>1.2</v>
      </c>
      <c r="O115" s="176" t="str">
        <f t="shared" si="27"/>
        <v>1.2</v>
      </c>
      <c r="P115" s="173">
        <f>+P111</f>
        <v>1.2</v>
      </c>
      <c r="Q115" s="70">
        <f>+Q111</f>
        <v>1.5</v>
      </c>
      <c r="R115" s="177">
        <f>+R111</f>
        <v>1.5</v>
      </c>
      <c r="S115" s="177">
        <v>1.5</v>
      </c>
      <c r="T115" s="177">
        <v>1.5</v>
      </c>
      <c r="U115" s="176">
        <v>1.5</v>
      </c>
      <c r="V115" s="70">
        <f>+V111</f>
        <v>2</v>
      </c>
      <c r="W115" s="176">
        <v>2</v>
      </c>
      <c r="X115" s="176">
        <v>2</v>
      </c>
      <c r="Y115" s="176">
        <v>2</v>
      </c>
      <c r="Z115" s="176">
        <v>2</v>
      </c>
      <c r="AA115" s="176"/>
      <c r="AB115" s="163">
        <v>0</v>
      </c>
      <c r="AC115" s="176"/>
      <c r="AD115" s="176"/>
      <c r="AE115" s="176"/>
      <c r="AF115" s="182"/>
      <c r="AG115" s="133">
        <v>0</v>
      </c>
      <c r="AH115" s="173"/>
      <c r="AI115" s="173"/>
      <c r="AJ115" s="140"/>
      <c r="AK115" s="144"/>
      <c r="AL115" s="578"/>
      <c r="AM115" s="609"/>
      <c r="AN115" s="609"/>
      <c r="AO115" s="578"/>
      <c r="AP115" s="581"/>
    </row>
    <row r="116" spans="1:42" s="5" customFormat="1" ht="49.5" customHeight="1" thickBot="1" x14ac:dyDescent="0.3">
      <c r="A116" s="667"/>
      <c r="B116" s="592"/>
      <c r="C116" s="595"/>
      <c r="D116" s="598"/>
      <c r="E116" s="598"/>
      <c r="F116" s="598"/>
      <c r="G116" s="148" t="s">
        <v>14</v>
      </c>
      <c r="H116" s="178">
        <f>+H112</f>
        <v>171476000</v>
      </c>
      <c r="I116" s="178"/>
      <c r="J116" s="178"/>
      <c r="K116" s="178">
        <f t="shared" si="27"/>
        <v>0</v>
      </c>
      <c r="L116" s="178">
        <f t="shared" si="27"/>
        <v>48690000</v>
      </c>
      <c r="M116" s="178">
        <f t="shared" si="27"/>
        <v>48690000</v>
      </c>
      <c r="N116" s="178">
        <f t="shared" si="27"/>
        <v>48690000</v>
      </c>
      <c r="O116" s="178">
        <f t="shared" si="27"/>
        <v>48690000</v>
      </c>
      <c r="P116" s="150">
        <f>+P112+P114</f>
        <v>48690000</v>
      </c>
      <c r="Q116" s="178">
        <f>+Q112+Q114</f>
        <v>71652666</v>
      </c>
      <c r="R116" s="178">
        <f>+R112+R114</f>
        <v>71652666</v>
      </c>
      <c r="S116" s="178">
        <v>71652666</v>
      </c>
      <c r="T116" s="178">
        <v>71132666</v>
      </c>
      <c r="U116" s="178">
        <v>71132666</v>
      </c>
      <c r="V116" s="68">
        <f>+V112</f>
        <v>58506000</v>
      </c>
      <c r="W116" s="178">
        <v>58506000</v>
      </c>
      <c r="X116" s="178">
        <v>72112333</v>
      </c>
      <c r="Y116" s="178">
        <v>73784023</v>
      </c>
      <c r="Z116" s="178">
        <v>73601430</v>
      </c>
      <c r="AA116" s="178"/>
      <c r="AB116" s="228">
        <v>5572301</v>
      </c>
      <c r="AC116" s="178"/>
      <c r="AD116" s="178"/>
      <c r="AE116" s="178"/>
      <c r="AF116" s="159"/>
      <c r="AG116" s="228">
        <v>5572301</v>
      </c>
      <c r="AH116" s="150"/>
      <c r="AI116" s="150"/>
      <c r="AJ116" s="151"/>
      <c r="AK116" s="152"/>
      <c r="AL116" s="579"/>
      <c r="AM116" s="610"/>
      <c r="AN116" s="610"/>
      <c r="AO116" s="579"/>
      <c r="AP116" s="582"/>
    </row>
    <row r="117" spans="1:42" s="5" customFormat="1" ht="45" customHeight="1" x14ac:dyDescent="0.25">
      <c r="A117" s="667" t="s">
        <v>194</v>
      </c>
      <c r="B117" s="590">
        <v>19</v>
      </c>
      <c r="C117" s="593" t="s">
        <v>166</v>
      </c>
      <c r="D117" s="596" t="s">
        <v>113</v>
      </c>
      <c r="E117" s="596">
        <v>311</v>
      </c>
      <c r="F117" s="596">
        <v>182</v>
      </c>
      <c r="G117" s="134" t="s">
        <v>9</v>
      </c>
      <c r="H117" s="155">
        <v>1</v>
      </c>
      <c r="I117" s="155"/>
      <c r="J117" s="155">
        <v>1</v>
      </c>
      <c r="K117" s="155">
        <v>1</v>
      </c>
      <c r="L117" s="155">
        <v>1</v>
      </c>
      <c r="M117" s="155">
        <v>1</v>
      </c>
      <c r="N117" s="155">
        <v>1</v>
      </c>
      <c r="O117" s="155">
        <v>1</v>
      </c>
      <c r="P117" s="183">
        <v>1</v>
      </c>
      <c r="Q117" s="155">
        <v>1</v>
      </c>
      <c r="R117" s="155">
        <v>1</v>
      </c>
      <c r="S117" s="155">
        <v>1</v>
      </c>
      <c r="T117" s="155">
        <v>1</v>
      </c>
      <c r="U117" s="155">
        <v>1</v>
      </c>
      <c r="V117" s="65">
        <v>1</v>
      </c>
      <c r="W117" s="155">
        <v>1</v>
      </c>
      <c r="X117" s="155">
        <v>1</v>
      </c>
      <c r="Y117" s="155">
        <v>1</v>
      </c>
      <c r="Z117" s="155">
        <v>1</v>
      </c>
      <c r="AA117" s="155"/>
      <c r="AB117" s="160">
        <v>1</v>
      </c>
      <c r="AC117" s="155"/>
      <c r="AD117" s="155"/>
      <c r="AE117" s="155"/>
      <c r="AF117" s="252"/>
      <c r="AG117" s="160">
        <v>1</v>
      </c>
      <c r="AH117" s="183"/>
      <c r="AI117" s="183"/>
      <c r="AJ117" s="140"/>
      <c r="AK117" s="137"/>
      <c r="AL117" s="577" t="s">
        <v>461</v>
      </c>
      <c r="AM117" s="608" t="s">
        <v>335</v>
      </c>
      <c r="AN117" s="670" t="s">
        <v>335</v>
      </c>
      <c r="AO117" s="577" t="s">
        <v>360</v>
      </c>
      <c r="AP117" s="580" t="s">
        <v>462</v>
      </c>
    </row>
    <row r="118" spans="1:42" s="5" customFormat="1" ht="36" customHeight="1" x14ac:dyDescent="0.25">
      <c r="A118" s="667"/>
      <c r="B118" s="591"/>
      <c r="C118" s="594"/>
      <c r="D118" s="597"/>
      <c r="E118" s="597"/>
      <c r="F118" s="597"/>
      <c r="G118" s="138" t="s">
        <v>10</v>
      </c>
      <c r="H118" s="146">
        <f>K118+P118+U118+V118+AA118</f>
        <v>924209334</v>
      </c>
      <c r="I118" s="146"/>
      <c r="J118" s="146">
        <v>28266667</v>
      </c>
      <c r="K118" s="146">
        <v>15016667</v>
      </c>
      <c r="L118" s="146">
        <v>387903196</v>
      </c>
      <c r="M118" s="146">
        <v>387903196</v>
      </c>
      <c r="N118" s="146">
        <v>387903196</v>
      </c>
      <c r="O118" s="146">
        <v>387903196</v>
      </c>
      <c r="P118" s="156">
        <v>361905000</v>
      </c>
      <c r="Q118" s="146">
        <v>413493500</v>
      </c>
      <c r="R118" s="146">
        <v>413493500</v>
      </c>
      <c r="S118" s="146">
        <v>448528000</v>
      </c>
      <c r="T118" s="146">
        <v>448528000</v>
      </c>
      <c r="U118" s="146">
        <v>448441667</v>
      </c>
      <c r="V118" s="66">
        <v>98846000</v>
      </c>
      <c r="W118" s="146">
        <v>195964700</v>
      </c>
      <c r="X118" s="146">
        <v>195964700</v>
      </c>
      <c r="Y118" s="146">
        <v>196032567</v>
      </c>
      <c r="Z118" s="146">
        <v>195855407</v>
      </c>
      <c r="AA118" s="146"/>
      <c r="AB118" s="216">
        <v>166551000</v>
      </c>
      <c r="AC118" s="146"/>
      <c r="AD118" s="146"/>
      <c r="AE118" s="146"/>
      <c r="AF118" s="162"/>
      <c r="AG118" s="217">
        <v>17218407</v>
      </c>
      <c r="AH118" s="156"/>
      <c r="AI118" s="156"/>
      <c r="AJ118" s="140"/>
      <c r="AK118" s="144"/>
      <c r="AL118" s="578"/>
      <c r="AM118" s="609"/>
      <c r="AN118" s="671"/>
      <c r="AO118" s="578"/>
      <c r="AP118" s="581"/>
    </row>
    <row r="119" spans="1:42" s="5" customFormat="1" ht="40.5" customHeight="1" x14ac:dyDescent="0.25">
      <c r="A119" s="667"/>
      <c r="B119" s="591"/>
      <c r="C119" s="594"/>
      <c r="D119" s="597"/>
      <c r="E119" s="597"/>
      <c r="F119" s="597"/>
      <c r="G119" s="138" t="s">
        <v>11</v>
      </c>
      <c r="H119" s="171"/>
      <c r="I119" s="171"/>
      <c r="J119" s="171"/>
      <c r="K119" s="171"/>
      <c r="L119" s="171"/>
      <c r="M119" s="171"/>
      <c r="N119" s="171"/>
      <c r="O119" s="171"/>
      <c r="P119" s="173"/>
      <c r="Q119" s="253"/>
      <c r="R119" s="171"/>
      <c r="S119" s="171"/>
      <c r="T119" s="171"/>
      <c r="U119" s="171"/>
      <c r="V119" s="69"/>
      <c r="W119" s="129"/>
      <c r="X119" s="129"/>
      <c r="Y119" s="171"/>
      <c r="Z119" s="171"/>
      <c r="AA119" s="171"/>
      <c r="AB119" s="219"/>
      <c r="AC119" s="171"/>
      <c r="AD119" s="171"/>
      <c r="AE119" s="171"/>
      <c r="AF119" s="172"/>
      <c r="AG119" s="219"/>
      <c r="AH119" s="173"/>
      <c r="AI119" s="173"/>
      <c r="AJ119" s="140"/>
      <c r="AK119" s="144"/>
      <c r="AL119" s="578"/>
      <c r="AM119" s="609"/>
      <c r="AN119" s="671"/>
      <c r="AO119" s="578"/>
      <c r="AP119" s="581"/>
    </row>
    <row r="120" spans="1:42" s="5" customFormat="1" ht="33" customHeight="1" x14ac:dyDescent="0.25">
      <c r="A120" s="667"/>
      <c r="B120" s="591"/>
      <c r="C120" s="594"/>
      <c r="D120" s="597"/>
      <c r="E120" s="597"/>
      <c r="F120" s="597"/>
      <c r="G120" s="138" t="s">
        <v>12</v>
      </c>
      <c r="H120" s="175"/>
      <c r="I120" s="175"/>
      <c r="J120" s="175"/>
      <c r="K120" s="175"/>
      <c r="L120" s="175">
        <v>706667</v>
      </c>
      <c r="M120" s="175">
        <v>706667</v>
      </c>
      <c r="N120" s="175">
        <v>706667</v>
      </c>
      <c r="O120" s="175">
        <v>706667</v>
      </c>
      <c r="P120" s="156">
        <f>+O120</f>
        <v>706667</v>
      </c>
      <c r="Q120" s="254">
        <v>69023999</v>
      </c>
      <c r="R120" s="254">
        <v>74298999</v>
      </c>
      <c r="S120" s="254">
        <v>63203999</v>
      </c>
      <c r="T120" s="254">
        <v>63203999</v>
      </c>
      <c r="U120" s="175">
        <v>63203999</v>
      </c>
      <c r="V120" s="69">
        <v>34530334</v>
      </c>
      <c r="W120" s="174">
        <v>34530334</v>
      </c>
      <c r="X120" s="174">
        <v>34530334</v>
      </c>
      <c r="Y120" s="175">
        <v>34530334</v>
      </c>
      <c r="Z120" s="175">
        <v>34530333</v>
      </c>
      <c r="AA120" s="175"/>
      <c r="AB120" s="217">
        <v>29288736</v>
      </c>
      <c r="AC120" s="175"/>
      <c r="AD120" s="175"/>
      <c r="AE120" s="175"/>
      <c r="AF120" s="162"/>
      <c r="AG120" s="217">
        <v>29288736</v>
      </c>
      <c r="AH120" s="156"/>
      <c r="AI120" s="156"/>
      <c r="AJ120" s="140"/>
      <c r="AK120" s="144"/>
      <c r="AL120" s="578"/>
      <c r="AM120" s="609"/>
      <c r="AN120" s="671"/>
      <c r="AO120" s="578"/>
      <c r="AP120" s="581"/>
    </row>
    <row r="121" spans="1:42" s="5" customFormat="1" ht="36" customHeight="1" x14ac:dyDescent="0.25">
      <c r="A121" s="667"/>
      <c r="B121" s="591"/>
      <c r="C121" s="594"/>
      <c r="D121" s="597"/>
      <c r="E121" s="597"/>
      <c r="F121" s="597"/>
      <c r="G121" s="138" t="s">
        <v>13</v>
      </c>
      <c r="H121" s="176">
        <f>+H117</f>
        <v>1</v>
      </c>
      <c r="I121" s="176"/>
      <c r="J121" s="176">
        <f>+J117</f>
        <v>1</v>
      </c>
      <c r="K121" s="176">
        <f t="shared" ref="K121:P121" si="28">+K117</f>
        <v>1</v>
      </c>
      <c r="L121" s="176">
        <f t="shared" si="28"/>
        <v>1</v>
      </c>
      <c r="M121" s="176">
        <f t="shared" si="28"/>
        <v>1</v>
      </c>
      <c r="N121" s="176">
        <f t="shared" si="28"/>
        <v>1</v>
      </c>
      <c r="O121" s="176">
        <f t="shared" si="28"/>
        <v>1</v>
      </c>
      <c r="P121" s="173">
        <f t="shared" si="28"/>
        <v>1</v>
      </c>
      <c r="Q121" s="176">
        <f>+Q117</f>
        <v>1</v>
      </c>
      <c r="R121" s="176">
        <f>+R117</f>
        <v>1</v>
      </c>
      <c r="S121" s="176">
        <v>1</v>
      </c>
      <c r="T121" s="176">
        <v>1</v>
      </c>
      <c r="U121" s="176">
        <v>1</v>
      </c>
      <c r="V121" s="70">
        <f>+V117</f>
        <v>1</v>
      </c>
      <c r="W121" s="176">
        <v>1</v>
      </c>
      <c r="X121" s="176">
        <v>1</v>
      </c>
      <c r="Y121" s="176">
        <v>1</v>
      </c>
      <c r="Z121" s="176">
        <v>1</v>
      </c>
      <c r="AA121" s="176"/>
      <c r="AB121" s="163">
        <v>1</v>
      </c>
      <c r="AC121" s="176"/>
      <c r="AD121" s="176"/>
      <c r="AE121" s="176"/>
      <c r="AF121" s="182"/>
      <c r="AG121" s="133">
        <v>1</v>
      </c>
      <c r="AH121" s="173"/>
      <c r="AI121" s="173"/>
      <c r="AJ121" s="140"/>
      <c r="AK121" s="144"/>
      <c r="AL121" s="578"/>
      <c r="AM121" s="609"/>
      <c r="AN121" s="671"/>
      <c r="AO121" s="578"/>
      <c r="AP121" s="581"/>
    </row>
    <row r="122" spans="1:42" s="5" customFormat="1" ht="49.5" customHeight="1" thickBot="1" x14ac:dyDescent="0.3">
      <c r="A122" s="667"/>
      <c r="B122" s="592"/>
      <c r="C122" s="673"/>
      <c r="D122" s="607"/>
      <c r="E122" s="607"/>
      <c r="F122" s="607"/>
      <c r="G122" s="148" t="s">
        <v>14</v>
      </c>
      <c r="H122" s="178">
        <f>+H118</f>
        <v>924209334</v>
      </c>
      <c r="I122" s="178"/>
      <c r="J122" s="178">
        <f>+J118</f>
        <v>28266667</v>
      </c>
      <c r="K122" s="178">
        <f>+K118</f>
        <v>15016667</v>
      </c>
      <c r="L122" s="178">
        <f t="shared" ref="L122:Q122" si="29">+L118+L120</f>
        <v>388609863</v>
      </c>
      <c r="M122" s="178">
        <f t="shared" si="29"/>
        <v>388609863</v>
      </c>
      <c r="N122" s="178">
        <f t="shared" si="29"/>
        <v>388609863</v>
      </c>
      <c r="O122" s="178">
        <f t="shared" si="29"/>
        <v>388609863</v>
      </c>
      <c r="P122" s="150">
        <f t="shared" si="29"/>
        <v>362611667</v>
      </c>
      <c r="Q122" s="178">
        <f t="shared" si="29"/>
        <v>482517499</v>
      </c>
      <c r="R122" s="178">
        <f>+R118+R120</f>
        <v>487792499</v>
      </c>
      <c r="S122" s="178">
        <v>511731999</v>
      </c>
      <c r="T122" s="178">
        <v>511731999</v>
      </c>
      <c r="U122" s="178">
        <v>511645666</v>
      </c>
      <c r="V122" s="68">
        <f>+V118</f>
        <v>98846000</v>
      </c>
      <c r="W122" s="178">
        <v>195964700</v>
      </c>
      <c r="X122" s="178">
        <v>230495034</v>
      </c>
      <c r="Y122" s="178">
        <v>230562901</v>
      </c>
      <c r="Z122" s="178">
        <v>230385740</v>
      </c>
      <c r="AA122" s="178"/>
      <c r="AB122" s="228">
        <v>195839736</v>
      </c>
      <c r="AC122" s="178"/>
      <c r="AD122" s="178"/>
      <c r="AE122" s="178"/>
      <c r="AF122" s="159"/>
      <c r="AG122" s="228">
        <v>46507143</v>
      </c>
      <c r="AH122" s="150"/>
      <c r="AI122" s="150"/>
      <c r="AJ122" s="151"/>
      <c r="AK122" s="152"/>
      <c r="AL122" s="579"/>
      <c r="AM122" s="610"/>
      <c r="AN122" s="672"/>
      <c r="AO122" s="579"/>
      <c r="AP122" s="582"/>
    </row>
    <row r="123" spans="1:42" s="5" customFormat="1" ht="45" customHeight="1" thickBot="1" x14ac:dyDescent="0.3">
      <c r="A123" s="667"/>
      <c r="B123" s="599">
        <v>20</v>
      </c>
      <c r="C123" s="621" t="s">
        <v>167</v>
      </c>
      <c r="D123" s="624" t="s">
        <v>113</v>
      </c>
      <c r="E123" s="624">
        <v>311</v>
      </c>
      <c r="F123" s="662">
        <v>182</v>
      </c>
      <c r="G123" s="199" t="s">
        <v>9</v>
      </c>
      <c r="H123" s="155">
        <v>100</v>
      </c>
      <c r="I123" s="155"/>
      <c r="J123" s="155">
        <v>100</v>
      </c>
      <c r="K123" s="155">
        <v>100</v>
      </c>
      <c r="L123" s="155">
        <v>100</v>
      </c>
      <c r="M123" s="155">
        <v>100</v>
      </c>
      <c r="N123" s="155">
        <v>100</v>
      </c>
      <c r="O123" s="155">
        <v>100</v>
      </c>
      <c r="P123" s="183">
        <v>100</v>
      </c>
      <c r="Q123" s="155">
        <v>100</v>
      </c>
      <c r="R123" s="155">
        <v>100</v>
      </c>
      <c r="S123" s="155">
        <v>100</v>
      </c>
      <c r="T123" s="155">
        <v>100</v>
      </c>
      <c r="U123" s="155">
        <v>100</v>
      </c>
      <c r="V123" s="65">
        <v>100</v>
      </c>
      <c r="W123" s="155">
        <v>100</v>
      </c>
      <c r="X123" s="155">
        <v>100</v>
      </c>
      <c r="Y123" s="155">
        <v>100</v>
      </c>
      <c r="Z123" s="155">
        <v>100</v>
      </c>
      <c r="AA123" s="155"/>
      <c r="AB123" s="160">
        <v>100</v>
      </c>
      <c r="AC123" s="155"/>
      <c r="AD123" s="155"/>
      <c r="AE123" s="155"/>
      <c r="AF123" s="252"/>
      <c r="AG123" s="160">
        <v>100</v>
      </c>
      <c r="AH123" s="183"/>
      <c r="AI123" s="183"/>
      <c r="AJ123" s="136"/>
      <c r="AK123" s="137"/>
      <c r="AL123" s="577" t="s">
        <v>463</v>
      </c>
      <c r="AM123" s="608" t="s">
        <v>335</v>
      </c>
      <c r="AN123" s="608" t="s">
        <v>335</v>
      </c>
      <c r="AO123" s="577" t="s">
        <v>464</v>
      </c>
      <c r="AP123" s="580" t="s">
        <v>465</v>
      </c>
    </row>
    <row r="124" spans="1:42" s="5" customFormat="1" ht="36" customHeight="1" x14ac:dyDescent="0.25">
      <c r="A124" s="667"/>
      <c r="B124" s="600"/>
      <c r="C124" s="622"/>
      <c r="D124" s="597"/>
      <c r="E124" s="597"/>
      <c r="F124" s="663"/>
      <c r="G124" s="200" t="s">
        <v>10</v>
      </c>
      <c r="H124" s="146">
        <f>K124+P124+U124+V124+AA124</f>
        <v>2039713933</v>
      </c>
      <c r="I124" s="146"/>
      <c r="J124" s="146">
        <v>12466667</v>
      </c>
      <c r="K124" s="146">
        <v>12466667</v>
      </c>
      <c r="L124" s="146">
        <v>1026979325</v>
      </c>
      <c r="M124" s="146">
        <v>1026979325</v>
      </c>
      <c r="N124" s="146">
        <v>1026979325</v>
      </c>
      <c r="O124" s="146">
        <v>1026979325</v>
      </c>
      <c r="P124" s="156">
        <v>791895466</v>
      </c>
      <c r="Q124" s="156">
        <v>611691500</v>
      </c>
      <c r="R124" s="156">
        <v>611691500</v>
      </c>
      <c r="S124" s="156">
        <v>576657000</v>
      </c>
      <c r="T124" s="156">
        <v>576657000</v>
      </c>
      <c r="U124" s="146">
        <v>576649800</v>
      </c>
      <c r="V124" s="66">
        <v>658702000</v>
      </c>
      <c r="W124" s="146">
        <v>738105500</v>
      </c>
      <c r="X124" s="146">
        <v>738105500</v>
      </c>
      <c r="Y124" s="146">
        <v>728883617</v>
      </c>
      <c r="Z124" s="146">
        <v>728846188</v>
      </c>
      <c r="AA124" s="146"/>
      <c r="AB124" s="216">
        <v>379003000</v>
      </c>
      <c r="AC124" s="146"/>
      <c r="AD124" s="146"/>
      <c r="AE124" s="146"/>
      <c r="AF124" s="162"/>
      <c r="AG124" s="217">
        <v>135508757</v>
      </c>
      <c r="AH124" s="156"/>
      <c r="AI124" s="156"/>
      <c r="AJ124" s="136"/>
      <c r="AK124" s="144"/>
      <c r="AL124" s="578"/>
      <c r="AM124" s="609"/>
      <c r="AN124" s="609"/>
      <c r="AO124" s="578"/>
      <c r="AP124" s="581"/>
    </row>
    <row r="125" spans="1:42" s="5" customFormat="1" ht="40.5" customHeight="1" x14ac:dyDescent="0.25">
      <c r="A125" s="667"/>
      <c r="B125" s="600"/>
      <c r="C125" s="622"/>
      <c r="D125" s="597"/>
      <c r="E125" s="597"/>
      <c r="F125" s="663"/>
      <c r="G125" s="200" t="s">
        <v>11</v>
      </c>
      <c r="H125" s="171"/>
      <c r="I125" s="171"/>
      <c r="J125" s="171"/>
      <c r="K125" s="171"/>
      <c r="L125" s="171"/>
      <c r="M125" s="171"/>
      <c r="N125" s="171"/>
      <c r="O125" s="171"/>
      <c r="P125" s="242"/>
      <c r="Q125" s="171"/>
      <c r="R125" s="171"/>
      <c r="S125" s="171"/>
      <c r="T125" s="171"/>
      <c r="U125" s="171"/>
      <c r="V125" s="69"/>
      <c r="W125" s="129"/>
      <c r="X125" s="129"/>
      <c r="Y125" s="171"/>
      <c r="Z125" s="171"/>
      <c r="AA125" s="171"/>
      <c r="AB125" s="219"/>
      <c r="AC125" s="171"/>
      <c r="AD125" s="171"/>
      <c r="AE125" s="171"/>
      <c r="AF125" s="195"/>
      <c r="AG125" s="219"/>
      <c r="AH125" s="242"/>
      <c r="AI125" s="242"/>
      <c r="AJ125" s="140"/>
      <c r="AK125" s="144"/>
      <c r="AL125" s="578"/>
      <c r="AM125" s="609"/>
      <c r="AN125" s="609"/>
      <c r="AO125" s="578"/>
      <c r="AP125" s="581"/>
    </row>
    <row r="126" spans="1:42" s="5" customFormat="1" ht="33" customHeight="1" x14ac:dyDescent="0.25">
      <c r="A126" s="667"/>
      <c r="B126" s="600"/>
      <c r="C126" s="622"/>
      <c r="D126" s="597"/>
      <c r="E126" s="597"/>
      <c r="F126" s="663"/>
      <c r="G126" s="200" t="s">
        <v>12</v>
      </c>
      <c r="H126" s="175"/>
      <c r="I126" s="175"/>
      <c r="J126" s="175"/>
      <c r="K126" s="175"/>
      <c r="L126" s="175">
        <v>2913333</v>
      </c>
      <c r="M126" s="175">
        <v>2913333</v>
      </c>
      <c r="N126" s="175">
        <v>2913333</v>
      </c>
      <c r="O126" s="175">
        <v>2913333</v>
      </c>
      <c r="P126" s="156">
        <v>2913333</v>
      </c>
      <c r="Q126" s="156">
        <v>619859801</v>
      </c>
      <c r="R126" s="156">
        <v>619859801</v>
      </c>
      <c r="S126" s="156">
        <v>611366468</v>
      </c>
      <c r="T126" s="156">
        <v>611366468</v>
      </c>
      <c r="U126" s="175">
        <v>135413828</v>
      </c>
      <c r="V126" s="69">
        <f>203588195-15540000</f>
        <v>188048195</v>
      </c>
      <c r="W126" s="174">
        <v>188048195</v>
      </c>
      <c r="X126" s="174">
        <v>188048195</v>
      </c>
      <c r="Y126" s="175">
        <v>188046423</v>
      </c>
      <c r="Z126" s="175">
        <v>44399563</v>
      </c>
      <c r="AA126" s="175"/>
      <c r="AB126" s="217">
        <v>162208566</v>
      </c>
      <c r="AC126" s="175"/>
      <c r="AD126" s="175"/>
      <c r="AE126" s="175"/>
      <c r="AF126" s="162"/>
      <c r="AG126" s="217">
        <v>133106286</v>
      </c>
      <c r="AH126" s="156"/>
      <c r="AI126" s="156"/>
      <c r="AJ126" s="140"/>
      <c r="AK126" s="144"/>
      <c r="AL126" s="578"/>
      <c r="AM126" s="609"/>
      <c r="AN126" s="609"/>
      <c r="AO126" s="578"/>
      <c r="AP126" s="581"/>
    </row>
    <row r="127" spans="1:42" s="5" customFormat="1" ht="36" customHeight="1" x14ac:dyDescent="0.25">
      <c r="A127" s="667"/>
      <c r="B127" s="600"/>
      <c r="C127" s="622"/>
      <c r="D127" s="597"/>
      <c r="E127" s="597"/>
      <c r="F127" s="663"/>
      <c r="G127" s="200" t="s">
        <v>13</v>
      </c>
      <c r="H127" s="176">
        <f>+H123</f>
        <v>100</v>
      </c>
      <c r="I127" s="176"/>
      <c r="J127" s="176">
        <f t="shared" ref="J127:O127" si="30">+J123</f>
        <v>100</v>
      </c>
      <c r="K127" s="176">
        <f t="shared" si="30"/>
        <v>100</v>
      </c>
      <c r="L127" s="176">
        <f t="shared" si="30"/>
        <v>100</v>
      </c>
      <c r="M127" s="176">
        <f t="shared" si="30"/>
        <v>100</v>
      </c>
      <c r="N127" s="176">
        <f t="shared" si="30"/>
        <v>100</v>
      </c>
      <c r="O127" s="176">
        <f t="shared" si="30"/>
        <v>100</v>
      </c>
      <c r="P127" s="173">
        <v>100</v>
      </c>
      <c r="Q127" s="176">
        <f>+Q123</f>
        <v>100</v>
      </c>
      <c r="R127" s="176">
        <f>+R123</f>
        <v>100</v>
      </c>
      <c r="S127" s="176">
        <v>100</v>
      </c>
      <c r="T127" s="176">
        <v>100</v>
      </c>
      <c r="U127" s="176">
        <v>100</v>
      </c>
      <c r="V127" s="70">
        <f>+V123</f>
        <v>100</v>
      </c>
      <c r="W127" s="176">
        <v>100</v>
      </c>
      <c r="X127" s="176">
        <v>100</v>
      </c>
      <c r="Y127" s="176">
        <v>100</v>
      </c>
      <c r="Z127" s="176">
        <v>100</v>
      </c>
      <c r="AA127" s="176"/>
      <c r="AB127" s="163">
        <v>100</v>
      </c>
      <c r="AC127" s="176"/>
      <c r="AD127" s="176"/>
      <c r="AE127" s="176"/>
      <c r="AF127" s="182"/>
      <c r="AG127" s="133">
        <v>100</v>
      </c>
      <c r="AH127" s="173"/>
      <c r="AI127" s="173"/>
      <c r="AJ127" s="140"/>
      <c r="AK127" s="144"/>
      <c r="AL127" s="578"/>
      <c r="AM127" s="609"/>
      <c r="AN127" s="609"/>
      <c r="AO127" s="578"/>
      <c r="AP127" s="581"/>
    </row>
    <row r="128" spans="1:42" s="5" customFormat="1" ht="49.5" customHeight="1" thickBot="1" x14ac:dyDescent="0.3">
      <c r="A128" s="667"/>
      <c r="B128" s="601"/>
      <c r="C128" s="623"/>
      <c r="D128" s="598"/>
      <c r="E128" s="598"/>
      <c r="F128" s="664"/>
      <c r="G128" s="201" t="s">
        <v>14</v>
      </c>
      <c r="H128" s="178">
        <f>+H124</f>
        <v>2039713933</v>
      </c>
      <c r="I128" s="178"/>
      <c r="J128" s="178">
        <f>+J124</f>
        <v>12466667</v>
      </c>
      <c r="K128" s="178">
        <f>+K124</f>
        <v>12466667</v>
      </c>
      <c r="L128" s="178">
        <f t="shared" ref="L128:Q128" si="31">+L124+L126</f>
        <v>1029892658</v>
      </c>
      <c r="M128" s="178">
        <f t="shared" si="31"/>
        <v>1029892658</v>
      </c>
      <c r="N128" s="178">
        <f t="shared" si="31"/>
        <v>1029892658</v>
      </c>
      <c r="O128" s="178">
        <f t="shared" si="31"/>
        <v>1029892658</v>
      </c>
      <c r="P128" s="150">
        <f t="shared" si="31"/>
        <v>794808799</v>
      </c>
      <c r="Q128" s="178">
        <f t="shared" si="31"/>
        <v>1231551301</v>
      </c>
      <c r="R128" s="178">
        <f>+R124+R126</f>
        <v>1231551301</v>
      </c>
      <c r="S128" s="178">
        <v>1188023468</v>
      </c>
      <c r="T128" s="178">
        <v>1188023468</v>
      </c>
      <c r="U128" s="178">
        <v>712063628</v>
      </c>
      <c r="V128" s="68">
        <f>+V124</f>
        <v>658702000</v>
      </c>
      <c r="W128" s="178">
        <v>738105500</v>
      </c>
      <c r="X128" s="178">
        <v>926153695</v>
      </c>
      <c r="Y128" s="178">
        <v>916930040</v>
      </c>
      <c r="Z128" s="178">
        <v>773245751</v>
      </c>
      <c r="AA128" s="178"/>
      <c r="AB128" s="228">
        <v>541211566</v>
      </c>
      <c r="AC128" s="178"/>
      <c r="AD128" s="178"/>
      <c r="AE128" s="178"/>
      <c r="AF128" s="159"/>
      <c r="AG128" s="228">
        <v>268615043</v>
      </c>
      <c r="AH128" s="150"/>
      <c r="AI128" s="150"/>
      <c r="AJ128" s="151"/>
      <c r="AK128" s="152"/>
      <c r="AL128" s="579"/>
      <c r="AM128" s="610"/>
      <c r="AN128" s="610"/>
      <c r="AO128" s="579"/>
      <c r="AP128" s="582"/>
    </row>
    <row r="129" spans="1:46" s="5" customFormat="1" ht="45" customHeight="1" x14ac:dyDescent="0.25">
      <c r="A129" s="667"/>
      <c r="B129" s="599">
        <v>21</v>
      </c>
      <c r="C129" s="602" t="s">
        <v>168</v>
      </c>
      <c r="D129" s="611" t="s">
        <v>114</v>
      </c>
      <c r="E129" s="596">
        <v>307</v>
      </c>
      <c r="F129" s="596">
        <v>180</v>
      </c>
      <c r="G129" s="134" t="s">
        <v>9</v>
      </c>
      <c r="H129" s="155">
        <v>1</v>
      </c>
      <c r="I129" s="155"/>
      <c r="J129" s="168">
        <v>0.1</v>
      </c>
      <c r="K129" s="255">
        <v>0.1</v>
      </c>
      <c r="L129" s="170">
        <v>0.4</v>
      </c>
      <c r="M129" s="170" t="s">
        <v>169</v>
      </c>
      <c r="N129" s="170" t="s">
        <v>169</v>
      </c>
      <c r="O129" s="170" t="s">
        <v>169</v>
      </c>
      <c r="P129" s="183">
        <v>0.4</v>
      </c>
      <c r="Q129" s="170">
        <v>0.7</v>
      </c>
      <c r="R129" s="170">
        <v>0.7</v>
      </c>
      <c r="S129" s="170">
        <v>0.7</v>
      </c>
      <c r="T129" s="170">
        <v>0.7</v>
      </c>
      <c r="U129" s="170">
        <v>0.7</v>
      </c>
      <c r="V129" s="65">
        <v>1</v>
      </c>
      <c r="W129" s="170">
        <v>1</v>
      </c>
      <c r="X129" s="170">
        <v>1</v>
      </c>
      <c r="Y129" s="170">
        <v>0.95</v>
      </c>
      <c r="Z129" s="170">
        <v>0.95</v>
      </c>
      <c r="AA129" s="237"/>
      <c r="AB129" s="160">
        <v>1</v>
      </c>
      <c r="AC129" s="237"/>
      <c r="AD129" s="237"/>
      <c r="AE129" s="155"/>
      <c r="AF129" s="65"/>
      <c r="AG129" s="160">
        <v>1</v>
      </c>
      <c r="AH129" s="183"/>
      <c r="AI129" s="183"/>
      <c r="AJ129" s="140"/>
      <c r="AK129" s="137"/>
      <c r="AL129" s="577" t="s">
        <v>466</v>
      </c>
      <c r="AM129" s="608" t="s">
        <v>335</v>
      </c>
      <c r="AN129" s="608" t="s">
        <v>335</v>
      </c>
      <c r="AO129" s="577" t="s">
        <v>148</v>
      </c>
      <c r="AP129" s="580" t="s">
        <v>467</v>
      </c>
    </row>
    <row r="130" spans="1:46" s="5" customFormat="1" ht="36" customHeight="1" x14ac:dyDescent="0.25">
      <c r="A130" s="667"/>
      <c r="B130" s="600"/>
      <c r="C130" s="603"/>
      <c r="D130" s="612"/>
      <c r="E130" s="597"/>
      <c r="F130" s="597"/>
      <c r="G130" s="138" t="s">
        <v>10</v>
      </c>
      <c r="H130" s="146">
        <f>K130+P130+U130+V130+AA130</f>
        <v>841356851</v>
      </c>
      <c r="I130" s="146"/>
      <c r="J130" s="146">
        <v>13300000</v>
      </c>
      <c r="K130" s="129">
        <v>0</v>
      </c>
      <c r="L130" s="146">
        <v>607850000</v>
      </c>
      <c r="M130" s="146">
        <v>607850000</v>
      </c>
      <c r="N130" s="146">
        <v>607850000</v>
      </c>
      <c r="O130" s="146">
        <v>607850000</v>
      </c>
      <c r="P130" s="156">
        <v>606700000</v>
      </c>
      <c r="Q130" s="146">
        <v>224560000</v>
      </c>
      <c r="R130" s="146">
        <v>224560000</v>
      </c>
      <c r="S130" s="146">
        <v>224560000</v>
      </c>
      <c r="T130" s="146">
        <v>220655000</v>
      </c>
      <c r="U130" s="146">
        <v>160573851</v>
      </c>
      <c r="V130" s="66">
        <v>74083000</v>
      </c>
      <c r="W130" s="146">
        <v>74083000</v>
      </c>
      <c r="X130" s="146">
        <v>74083000</v>
      </c>
      <c r="Y130" s="146">
        <v>68576370</v>
      </c>
      <c r="Z130" s="146">
        <v>68576370</v>
      </c>
      <c r="AA130" s="146"/>
      <c r="AB130" s="216">
        <v>49852000</v>
      </c>
      <c r="AC130" s="146"/>
      <c r="AD130" s="146"/>
      <c r="AE130" s="146"/>
      <c r="AF130" s="145"/>
      <c r="AG130" s="217">
        <v>11793500</v>
      </c>
      <c r="AH130" s="156"/>
      <c r="AI130" s="156"/>
      <c r="AJ130" s="140"/>
      <c r="AK130" s="144"/>
      <c r="AL130" s="578"/>
      <c r="AM130" s="609"/>
      <c r="AN130" s="609"/>
      <c r="AO130" s="578"/>
      <c r="AP130" s="581"/>
    </row>
    <row r="131" spans="1:46" s="5" customFormat="1" ht="40.5" customHeight="1" x14ac:dyDescent="0.25">
      <c r="A131" s="667"/>
      <c r="B131" s="600"/>
      <c r="C131" s="603"/>
      <c r="D131" s="612"/>
      <c r="E131" s="597"/>
      <c r="F131" s="597"/>
      <c r="G131" s="138" t="s">
        <v>11</v>
      </c>
      <c r="H131" s="171"/>
      <c r="I131" s="171"/>
      <c r="J131" s="171"/>
      <c r="K131" s="171"/>
      <c r="L131" s="171"/>
      <c r="M131" s="171"/>
      <c r="N131" s="171"/>
      <c r="O131" s="171"/>
      <c r="P131" s="173"/>
      <c r="Q131" s="171"/>
      <c r="R131" s="171"/>
      <c r="S131" s="171"/>
      <c r="T131" s="171"/>
      <c r="U131" s="171"/>
      <c r="V131" s="69"/>
      <c r="W131" s="129"/>
      <c r="X131" s="129"/>
      <c r="Y131" s="171"/>
      <c r="Z131" s="171"/>
      <c r="AA131" s="171"/>
      <c r="AB131" s="219"/>
      <c r="AC131" s="171"/>
      <c r="AD131" s="171"/>
      <c r="AE131" s="171"/>
      <c r="AF131" s="172"/>
      <c r="AG131" s="219"/>
      <c r="AH131" s="173"/>
      <c r="AI131" s="173"/>
      <c r="AJ131" s="140"/>
      <c r="AK131" s="144"/>
      <c r="AL131" s="578"/>
      <c r="AM131" s="609"/>
      <c r="AN131" s="609"/>
      <c r="AO131" s="578"/>
      <c r="AP131" s="581"/>
    </row>
    <row r="132" spans="1:46" s="5" customFormat="1" ht="33" customHeight="1" x14ac:dyDescent="0.25">
      <c r="A132" s="667"/>
      <c r="B132" s="600"/>
      <c r="C132" s="603"/>
      <c r="D132" s="612"/>
      <c r="E132" s="597"/>
      <c r="F132" s="597"/>
      <c r="G132" s="138" t="s">
        <v>12</v>
      </c>
      <c r="H132" s="175"/>
      <c r="I132" s="175"/>
      <c r="J132" s="175"/>
      <c r="K132" s="175"/>
      <c r="L132" s="175"/>
      <c r="M132" s="175"/>
      <c r="N132" s="175"/>
      <c r="O132" s="175"/>
      <c r="P132" s="173"/>
      <c r="Q132" s="156">
        <v>514572334</v>
      </c>
      <c r="R132" s="156">
        <v>514572334</v>
      </c>
      <c r="S132" s="156">
        <v>514572334</v>
      </c>
      <c r="T132" s="156">
        <v>514572334</v>
      </c>
      <c r="U132" s="175">
        <v>225988334</v>
      </c>
      <c r="V132" s="69">
        <v>103060517</v>
      </c>
      <c r="W132" s="174">
        <v>103060517</v>
      </c>
      <c r="X132" s="174">
        <v>103060517</v>
      </c>
      <c r="Y132" s="175">
        <v>103060517</v>
      </c>
      <c r="Z132" s="175">
        <v>95847184</v>
      </c>
      <c r="AA132" s="175"/>
      <c r="AB132" s="217">
        <v>2121113</v>
      </c>
      <c r="AC132" s="175"/>
      <c r="AD132" s="175"/>
      <c r="AE132" s="175"/>
      <c r="AF132" s="198"/>
      <c r="AG132" s="217">
        <v>2121113</v>
      </c>
      <c r="AH132" s="173"/>
      <c r="AI132" s="173"/>
      <c r="AJ132" s="140"/>
      <c r="AK132" s="144"/>
      <c r="AL132" s="578"/>
      <c r="AM132" s="609"/>
      <c r="AN132" s="609"/>
      <c r="AO132" s="578"/>
      <c r="AP132" s="581"/>
    </row>
    <row r="133" spans="1:46" s="5" customFormat="1" ht="36" customHeight="1" x14ac:dyDescent="0.25">
      <c r="A133" s="667"/>
      <c r="B133" s="600"/>
      <c r="C133" s="603"/>
      <c r="D133" s="612"/>
      <c r="E133" s="597"/>
      <c r="F133" s="597"/>
      <c r="G133" s="138" t="s">
        <v>13</v>
      </c>
      <c r="H133" s="176">
        <f>+H129</f>
        <v>1</v>
      </c>
      <c r="I133" s="176"/>
      <c r="J133" s="70">
        <f>+J129</f>
        <v>0.1</v>
      </c>
      <c r="K133" s="176">
        <f t="shared" ref="K133:O134" si="32">+K129</f>
        <v>0.1</v>
      </c>
      <c r="L133" s="176">
        <f>+L129</f>
        <v>0.4</v>
      </c>
      <c r="M133" s="176" t="str">
        <f t="shared" si="32"/>
        <v>0.4</v>
      </c>
      <c r="N133" s="176" t="str">
        <f t="shared" si="32"/>
        <v>0.4</v>
      </c>
      <c r="O133" s="176" t="str">
        <f t="shared" si="32"/>
        <v>0.4</v>
      </c>
      <c r="P133" s="173">
        <f>+P129</f>
        <v>0.4</v>
      </c>
      <c r="Q133" s="177">
        <f>+Q129</f>
        <v>0.7</v>
      </c>
      <c r="R133" s="177">
        <f>+R129</f>
        <v>0.7</v>
      </c>
      <c r="S133" s="177">
        <v>0.7</v>
      </c>
      <c r="T133" s="177">
        <v>0.7</v>
      </c>
      <c r="U133" s="176">
        <v>0.7</v>
      </c>
      <c r="V133" s="70">
        <f>+V129</f>
        <v>1</v>
      </c>
      <c r="W133" s="176">
        <v>1</v>
      </c>
      <c r="X133" s="176">
        <v>1</v>
      </c>
      <c r="Y133" s="176">
        <v>0.95</v>
      </c>
      <c r="Z133" s="176">
        <v>0.95</v>
      </c>
      <c r="AA133" s="176"/>
      <c r="AB133" s="163">
        <v>1</v>
      </c>
      <c r="AC133" s="176"/>
      <c r="AD133" s="176"/>
      <c r="AE133" s="176"/>
      <c r="AF133" s="182"/>
      <c r="AG133" s="133">
        <v>1</v>
      </c>
      <c r="AH133" s="173"/>
      <c r="AI133" s="173"/>
      <c r="AJ133" s="140"/>
      <c r="AK133" s="144"/>
      <c r="AL133" s="578"/>
      <c r="AM133" s="609"/>
      <c r="AN133" s="609"/>
      <c r="AO133" s="578"/>
      <c r="AP133" s="581"/>
    </row>
    <row r="134" spans="1:46" s="5" customFormat="1" ht="49.5" customHeight="1" thickBot="1" x14ac:dyDescent="0.3">
      <c r="A134" s="667"/>
      <c r="B134" s="601"/>
      <c r="C134" s="604"/>
      <c r="D134" s="669"/>
      <c r="E134" s="598"/>
      <c r="F134" s="598"/>
      <c r="G134" s="148" t="s">
        <v>14</v>
      </c>
      <c r="H134" s="178">
        <f>+H130</f>
        <v>841356851</v>
      </c>
      <c r="I134" s="178"/>
      <c r="J134" s="178">
        <f>+J130</f>
        <v>13300000</v>
      </c>
      <c r="K134" s="178">
        <f t="shared" si="32"/>
        <v>0</v>
      </c>
      <c r="L134" s="178">
        <f t="shared" si="32"/>
        <v>607850000</v>
      </c>
      <c r="M134" s="178">
        <f t="shared" si="32"/>
        <v>607850000</v>
      </c>
      <c r="N134" s="178">
        <f t="shared" si="32"/>
        <v>607850000</v>
      </c>
      <c r="O134" s="178">
        <f t="shared" si="32"/>
        <v>607850000</v>
      </c>
      <c r="P134" s="150">
        <f>+P130</f>
        <v>606700000</v>
      </c>
      <c r="Q134" s="178">
        <f>+Q130+Q132</f>
        <v>739132334</v>
      </c>
      <c r="R134" s="178">
        <f>+R130+R132</f>
        <v>739132334</v>
      </c>
      <c r="S134" s="178">
        <v>739132334</v>
      </c>
      <c r="T134" s="178">
        <v>735227334</v>
      </c>
      <c r="U134" s="178">
        <v>386562185</v>
      </c>
      <c r="V134" s="68">
        <f>+V130</f>
        <v>74083000</v>
      </c>
      <c r="W134" s="178">
        <v>74083000</v>
      </c>
      <c r="X134" s="178">
        <v>177143517</v>
      </c>
      <c r="Y134" s="178">
        <v>171636887</v>
      </c>
      <c r="Z134" s="178">
        <v>164423554</v>
      </c>
      <c r="AA134" s="178"/>
      <c r="AB134" s="228">
        <v>51973113</v>
      </c>
      <c r="AC134" s="178"/>
      <c r="AD134" s="178"/>
      <c r="AE134" s="178"/>
      <c r="AF134" s="159"/>
      <c r="AG134" s="228">
        <v>13914613</v>
      </c>
      <c r="AH134" s="150"/>
      <c r="AI134" s="150"/>
      <c r="AJ134" s="151"/>
      <c r="AK134" s="152"/>
      <c r="AL134" s="579"/>
      <c r="AM134" s="610"/>
      <c r="AN134" s="610"/>
      <c r="AO134" s="579"/>
      <c r="AP134" s="582"/>
    </row>
    <row r="135" spans="1:46" s="5" customFormat="1" ht="45" customHeight="1" thickBot="1" x14ac:dyDescent="0.3">
      <c r="A135" s="667"/>
      <c r="B135" s="599">
        <v>22</v>
      </c>
      <c r="C135" s="602" t="s">
        <v>320</v>
      </c>
      <c r="D135" s="611" t="s">
        <v>114</v>
      </c>
      <c r="E135" s="596">
        <v>306</v>
      </c>
      <c r="F135" s="596"/>
      <c r="G135" s="134" t="s">
        <v>9</v>
      </c>
      <c r="H135" s="155">
        <v>14</v>
      </c>
      <c r="I135" s="155"/>
      <c r="J135" s="155">
        <v>0</v>
      </c>
      <c r="K135" s="155">
        <v>0</v>
      </c>
      <c r="L135" s="155">
        <v>0</v>
      </c>
      <c r="M135" s="155">
        <v>0</v>
      </c>
      <c r="N135" s="155">
        <v>0</v>
      </c>
      <c r="O135" s="155">
        <v>0</v>
      </c>
      <c r="P135" s="233">
        <v>0</v>
      </c>
      <c r="Q135" s="155">
        <v>0</v>
      </c>
      <c r="R135" s="155">
        <v>0</v>
      </c>
      <c r="S135" s="155">
        <v>0</v>
      </c>
      <c r="T135" s="155"/>
      <c r="U135" s="155"/>
      <c r="V135" s="65">
        <v>0.8</v>
      </c>
      <c r="W135" s="155">
        <v>0.8</v>
      </c>
      <c r="X135" s="155">
        <v>0.8</v>
      </c>
      <c r="Y135" s="168">
        <v>14</v>
      </c>
      <c r="Z135" s="155">
        <v>15.9</v>
      </c>
      <c r="AA135" s="155"/>
      <c r="AB135" s="155"/>
      <c r="AC135" s="155"/>
      <c r="AD135" s="155"/>
      <c r="AE135" s="155"/>
      <c r="AF135" s="232"/>
      <c r="AG135" s="233"/>
      <c r="AH135" s="233"/>
      <c r="AI135" s="233"/>
      <c r="AJ135" s="136"/>
      <c r="AK135" s="137"/>
      <c r="AL135" s="577" t="s">
        <v>468</v>
      </c>
      <c r="AM135" s="608"/>
      <c r="AN135" s="608"/>
      <c r="AO135" s="577"/>
      <c r="AP135" s="580"/>
    </row>
    <row r="136" spans="1:46" s="5" customFormat="1" ht="36" customHeight="1" x14ac:dyDescent="0.25">
      <c r="A136" s="667"/>
      <c r="B136" s="600"/>
      <c r="C136" s="603"/>
      <c r="D136" s="612"/>
      <c r="E136" s="597"/>
      <c r="F136" s="597"/>
      <c r="G136" s="138" t="s">
        <v>10</v>
      </c>
      <c r="H136" s="146">
        <f>K136+P136+U136+V136+AA136</f>
        <v>200000000</v>
      </c>
      <c r="I136" s="146"/>
      <c r="J136" s="146">
        <v>0</v>
      </c>
      <c r="K136" s="146">
        <v>0</v>
      </c>
      <c r="L136" s="146">
        <v>0</v>
      </c>
      <c r="M136" s="146">
        <v>0</v>
      </c>
      <c r="N136" s="146">
        <v>0</v>
      </c>
      <c r="O136" s="146">
        <v>0</v>
      </c>
      <c r="P136" s="129">
        <v>0</v>
      </c>
      <c r="Q136" s="146">
        <v>0</v>
      </c>
      <c r="R136" s="146">
        <v>0</v>
      </c>
      <c r="S136" s="146">
        <v>0</v>
      </c>
      <c r="T136" s="146"/>
      <c r="U136" s="146"/>
      <c r="V136" s="66">
        <v>200000000</v>
      </c>
      <c r="W136" s="146">
        <v>200000000</v>
      </c>
      <c r="X136" s="146">
        <v>200000000</v>
      </c>
      <c r="Y136" s="146">
        <v>180000000</v>
      </c>
      <c r="Z136" s="146">
        <v>0</v>
      </c>
      <c r="AA136" s="146"/>
      <c r="AB136" s="146"/>
      <c r="AC136" s="146"/>
      <c r="AD136" s="146"/>
      <c r="AE136" s="146"/>
      <c r="AF136" s="141"/>
      <c r="AG136" s="129"/>
      <c r="AH136" s="129"/>
      <c r="AI136" s="129"/>
      <c r="AJ136" s="136"/>
      <c r="AK136" s="144"/>
      <c r="AL136" s="578"/>
      <c r="AM136" s="609"/>
      <c r="AN136" s="609"/>
      <c r="AO136" s="578"/>
      <c r="AP136" s="581"/>
    </row>
    <row r="137" spans="1:46" s="5" customFormat="1" ht="40.5" customHeight="1" x14ac:dyDescent="0.25">
      <c r="A137" s="667"/>
      <c r="B137" s="600"/>
      <c r="C137" s="603"/>
      <c r="D137" s="612"/>
      <c r="E137" s="597"/>
      <c r="F137" s="597"/>
      <c r="G137" s="138" t="s">
        <v>11</v>
      </c>
      <c r="H137" s="171"/>
      <c r="I137" s="171"/>
      <c r="J137" s="171"/>
      <c r="K137" s="171"/>
      <c r="L137" s="171"/>
      <c r="M137" s="171"/>
      <c r="N137" s="171"/>
      <c r="O137" s="171"/>
      <c r="P137" s="129"/>
      <c r="Q137" s="171"/>
      <c r="R137" s="171"/>
      <c r="S137" s="171"/>
      <c r="T137" s="171"/>
      <c r="U137" s="171"/>
      <c r="V137" s="69"/>
      <c r="W137" s="129"/>
      <c r="X137" s="129"/>
      <c r="Y137" s="171"/>
      <c r="Z137" s="171"/>
      <c r="AA137" s="171"/>
      <c r="AB137" s="171"/>
      <c r="AC137" s="171"/>
      <c r="AD137" s="171"/>
      <c r="AE137" s="171"/>
      <c r="AF137" s="141"/>
      <c r="AG137" s="129"/>
      <c r="AH137" s="142"/>
      <c r="AI137" s="129"/>
      <c r="AJ137" s="140"/>
      <c r="AK137" s="144"/>
      <c r="AL137" s="578"/>
      <c r="AM137" s="609"/>
      <c r="AN137" s="609"/>
      <c r="AO137" s="578"/>
      <c r="AP137" s="581"/>
    </row>
    <row r="138" spans="1:46" s="5" customFormat="1" ht="33" customHeight="1" x14ac:dyDescent="0.25">
      <c r="A138" s="667"/>
      <c r="B138" s="600"/>
      <c r="C138" s="603"/>
      <c r="D138" s="612"/>
      <c r="E138" s="597"/>
      <c r="F138" s="597"/>
      <c r="G138" s="138" t="s">
        <v>12</v>
      </c>
      <c r="H138" s="175"/>
      <c r="I138" s="175"/>
      <c r="J138" s="175"/>
      <c r="K138" s="175"/>
      <c r="L138" s="175"/>
      <c r="M138" s="175"/>
      <c r="N138" s="175"/>
      <c r="O138" s="175"/>
      <c r="P138" s="145"/>
      <c r="Q138" s="175"/>
      <c r="R138" s="175"/>
      <c r="S138" s="175"/>
      <c r="T138" s="175"/>
      <c r="U138" s="175"/>
      <c r="V138" s="69"/>
      <c r="W138" s="174"/>
      <c r="X138" s="174"/>
      <c r="Y138" s="175"/>
      <c r="Z138" s="175"/>
      <c r="AA138" s="175"/>
      <c r="AB138" s="175"/>
      <c r="AC138" s="175"/>
      <c r="AD138" s="175"/>
      <c r="AE138" s="175"/>
      <c r="AF138" s="157"/>
      <c r="AG138" s="146"/>
      <c r="AH138" s="146"/>
      <c r="AI138" s="146"/>
      <c r="AJ138" s="140"/>
      <c r="AK138" s="144"/>
      <c r="AL138" s="578"/>
      <c r="AM138" s="609"/>
      <c r="AN138" s="609"/>
      <c r="AO138" s="578"/>
      <c r="AP138" s="581"/>
    </row>
    <row r="139" spans="1:46" s="5" customFormat="1" ht="36" customHeight="1" x14ac:dyDescent="0.25">
      <c r="A139" s="667"/>
      <c r="B139" s="600"/>
      <c r="C139" s="603"/>
      <c r="D139" s="612"/>
      <c r="E139" s="597"/>
      <c r="F139" s="597"/>
      <c r="G139" s="138" t="s">
        <v>13</v>
      </c>
      <c r="H139" s="241">
        <f>+H135</f>
        <v>14</v>
      </c>
      <c r="I139" s="176"/>
      <c r="J139" s="241">
        <f t="shared" ref="J139" si="33">+J135</f>
        <v>0</v>
      </c>
      <c r="K139" s="241">
        <f t="shared" ref="K139:O140" si="34">+K135</f>
        <v>0</v>
      </c>
      <c r="L139" s="241">
        <f t="shared" si="34"/>
        <v>0</v>
      </c>
      <c r="M139" s="241">
        <f t="shared" si="34"/>
        <v>0</v>
      </c>
      <c r="N139" s="241">
        <f t="shared" si="34"/>
        <v>0</v>
      </c>
      <c r="O139" s="241">
        <f t="shared" si="34"/>
        <v>0</v>
      </c>
      <c r="P139" s="129">
        <v>0</v>
      </c>
      <c r="Q139" s="241">
        <f>+Q135</f>
        <v>0</v>
      </c>
      <c r="R139" s="241">
        <f>+R135</f>
        <v>0</v>
      </c>
      <c r="S139" s="241">
        <v>0</v>
      </c>
      <c r="T139" s="241"/>
      <c r="U139" s="176"/>
      <c r="V139" s="139">
        <f>+V135</f>
        <v>0.8</v>
      </c>
      <c r="W139" s="241">
        <v>0.8</v>
      </c>
      <c r="X139" s="241">
        <v>0.8</v>
      </c>
      <c r="Y139" s="241">
        <v>14</v>
      </c>
      <c r="Z139" s="176"/>
      <c r="AA139" s="241"/>
      <c r="AB139" s="241"/>
      <c r="AC139" s="241"/>
      <c r="AD139" s="241"/>
      <c r="AE139" s="176"/>
      <c r="AF139" s="141"/>
      <c r="AG139" s="129"/>
      <c r="AH139" s="129"/>
      <c r="AI139" s="129"/>
      <c r="AJ139" s="140"/>
      <c r="AK139" s="144"/>
      <c r="AL139" s="578"/>
      <c r="AM139" s="609"/>
      <c r="AN139" s="609"/>
      <c r="AO139" s="578"/>
      <c r="AP139" s="581"/>
    </row>
    <row r="140" spans="1:46" s="5" customFormat="1" ht="49.5" customHeight="1" thickBot="1" x14ac:dyDescent="0.3">
      <c r="A140" s="668"/>
      <c r="B140" s="601"/>
      <c r="C140" s="604"/>
      <c r="D140" s="613"/>
      <c r="E140" s="607"/>
      <c r="F140" s="607"/>
      <c r="G140" s="191" t="s">
        <v>14</v>
      </c>
      <c r="H140" s="256">
        <f>+H136</f>
        <v>200000000</v>
      </c>
      <c r="I140" s="257"/>
      <c r="J140" s="256">
        <f t="shared" ref="J140" si="35">+J136</f>
        <v>0</v>
      </c>
      <c r="K140" s="256">
        <f t="shared" si="34"/>
        <v>0</v>
      </c>
      <c r="L140" s="256">
        <f t="shared" si="34"/>
        <v>0</v>
      </c>
      <c r="M140" s="256">
        <f t="shared" si="34"/>
        <v>0</v>
      </c>
      <c r="N140" s="256">
        <f t="shared" si="34"/>
        <v>0</v>
      </c>
      <c r="O140" s="256">
        <f t="shared" si="34"/>
        <v>0</v>
      </c>
      <c r="P140" s="258">
        <v>0</v>
      </c>
      <c r="Q140" s="256">
        <f>+Q136</f>
        <v>0</v>
      </c>
      <c r="R140" s="256">
        <f>+R136</f>
        <v>0</v>
      </c>
      <c r="S140" s="256">
        <v>0</v>
      </c>
      <c r="T140" s="256"/>
      <c r="U140" s="257"/>
      <c r="V140" s="73">
        <f>+V136</f>
        <v>200000000</v>
      </c>
      <c r="W140" s="256">
        <v>200000000</v>
      </c>
      <c r="X140" s="256">
        <v>200000000</v>
      </c>
      <c r="Y140" s="256">
        <v>180000000</v>
      </c>
      <c r="Z140" s="257"/>
      <c r="AA140" s="256"/>
      <c r="AB140" s="256"/>
      <c r="AC140" s="256"/>
      <c r="AD140" s="256"/>
      <c r="AE140" s="257"/>
      <c r="AF140" s="259"/>
      <c r="AG140" s="258"/>
      <c r="AH140" s="258"/>
      <c r="AI140" s="258"/>
      <c r="AJ140" s="260"/>
      <c r="AK140" s="261"/>
      <c r="AL140" s="579"/>
      <c r="AM140" s="610"/>
      <c r="AN140" s="610"/>
      <c r="AO140" s="579"/>
      <c r="AP140" s="582"/>
    </row>
    <row r="141" spans="1:46" ht="31.5" customHeight="1" x14ac:dyDescent="0.25">
      <c r="A141" s="583" t="s">
        <v>15</v>
      </c>
      <c r="B141" s="584"/>
      <c r="C141" s="584"/>
      <c r="D141" s="584"/>
      <c r="E141" s="584"/>
      <c r="F141" s="585"/>
      <c r="G141" s="202" t="s">
        <v>10</v>
      </c>
      <c r="H141" s="262">
        <f>SUM(H10+H16+H22+H28+H34+H40+H46+H52+H58+H64+H70+H76+H82+H88+H94+H100+H106+H112+H118+H124+H130+H136)</f>
        <v>48488316475.91333</v>
      </c>
      <c r="I141" s="263"/>
      <c r="J141" s="262">
        <f t="shared" ref="J141:P141" si="36">SUM(J10+J16+J22+J28+J34+J40+J46+J52+J58+J64+J70+J76+J82+J88+J94+J100+J106+J112+J118+J124+J130+J136)</f>
        <v>3463707539</v>
      </c>
      <c r="K141" s="262">
        <f t="shared" si="36"/>
        <v>2644510628</v>
      </c>
      <c r="L141" s="262">
        <f t="shared" si="36"/>
        <v>20404581546</v>
      </c>
      <c r="M141" s="262">
        <f t="shared" si="36"/>
        <v>20290272379</v>
      </c>
      <c r="N141" s="262">
        <f t="shared" si="36"/>
        <v>20290272379</v>
      </c>
      <c r="O141" s="262">
        <f t="shared" si="36"/>
        <v>20290272379</v>
      </c>
      <c r="P141" s="262">
        <f t="shared" si="36"/>
        <v>17038034982.913332</v>
      </c>
      <c r="Q141" s="262">
        <f>SUM(Q10+Q16+Q22+Q28+Q34+Q40+Q46+Q52+Q58+Q64+Q70+S76+Q82+Q88+Q94+Q100+Q106+Q112+Q118+Q124+Q130+Q136)</f>
        <v>14004860000</v>
      </c>
      <c r="R141" s="262">
        <f>SUM(R10+R16+R22+R28+R34+R40+R46+R52+R58+R64+R70+T76+R82+R88+R94+R100+R106+R112+R118+R124+R130+R136)</f>
        <v>13999660000</v>
      </c>
      <c r="S141" s="262">
        <v>13182460335</v>
      </c>
      <c r="T141" s="262">
        <f>SUM(T10+T16+T22+T28+T34+T40+T46+T52+T58+T64+T70+T76+T82+T88+T94+T100+T106+T112+T118+T124+T130+T136)</f>
        <v>12791260335</v>
      </c>
      <c r="U141" s="263"/>
      <c r="V141" s="262">
        <v>17600000000</v>
      </c>
      <c r="W141" s="262">
        <v>17600000000</v>
      </c>
      <c r="X141" s="262">
        <f t="shared" ref="X141:AD141" si="37">SUM(X10+X16+X22+X28+X34+X40+X46+X52+X58+X64+X70+X76+X82+X88+X94+X100+X106+X112+X118+X124+X130+X136)</f>
        <v>17048759052</v>
      </c>
      <c r="Y141" s="262">
        <f t="shared" si="37"/>
        <v>16123596482</v>
      </c>
      <c r="Z141" s="263">
        <f t="shared" si="37"/>
        <v>13997255134</v>
      </c>
      <c r="AA141" s="262">
        <f t="shared" si="37"/>
        <v>0</v>
      </c>
      <c r="AB141" s="262">
        <f>SUM(AB10+AB16+AB22+AB28+AB34+AB40+AB46+AB52+AB58+AB64+AB70+AB76+AB82+AB88+AB94+AB100+AB106+AB112+AB118+AB124+AB130+AB136)</f>
        <v>14320557070</v>
      </c>
      <c r="AC141" s="262">
        <f t="shared" si="37"/>
        <v>0</v>
      </c>
      <c r="AD141" s="262">
        <f t="shared" si="37"/>
        <v>0</v>
      </c>
      <c r="AE141" s="263"/>
      <c r="AF141" s="262">
        <f>SUM(AF10+AF16+AF22+AF28+AF34+AF40+AF46+AF52+AF58+AF64+AF70+AF76+AF82+AF88+AF94+AF100+AF106+AF112+AF118+AF124+AF130+AF136)</f>
        <v>0</v>
      </c>
      <c r="AG141" s="262">
        <f>SUM(AG10+AG16+AG22+AG28+AG34+AG40+AG46+AG52+AG58+AG64+AG70+AG76+AG82+AG88+AG94+AG100+AG106+AG112+AG118+AG124+AG130+AG136)</f>
        <v>3290618246</v>
      </c>
      <c r="AH141" s="262">
        <f>SUM(AH10+AH16+AH22+AH28+AH34+AH40+AH46+AH52+AH58+AH64+AH70+AH76+AH82+AH88+AH94+AH100+AH106+AH112+AH118+AH124+AH130+AH136)</f>
        <v>0</v>
      </c>
      <c r="AI141" s="262">
        <f>SUM(AI10+AI16+AI22+AI28+AI34+AI40+AI46+AI52+AI58+AI64+AI70+AI76+AI82+AI88+AI94+AI100+AI106+AI112+AI118+AI124+AI130+AI136)</f>
        <v>0</v>
      </c>
      <c r="AJ141" s="264"/>
      <c r="AK141" s="265"/>
      <c r="AL141" s="266"/>
      <c r="AM141" s="266"/>
      <c r="AN141" s="266"/>
      <c r="AO141" s="266"/>
      <c r="AP141" s="267"/>
    </row>
    <row r="142" spans="1:46" ht="28.5" customHeight="1" x14ac:dyDescent="0.25">
      <c r="A142" s="583"/>
      <c r="B142" s="584"/>
      <c r="C142" s="584"/>
      <c r="D142" s="584"/>
      <c r="E142" s="584"/>
      <c r="F142" s="585"/>
      <c r="G142" s="138" t="s">
        <v>12</v>
      </c>
      <c r="H142" s="175">
        <f>SUM(H12+H18+H24+H30+H36+H42+H48+H54+H60+H66+H72+H78+H84+H90+H96+H102+H108+H114+H120+H126+H132+H138)</f>
        <v>0</v>
      </c>
      <c r="I142" s="171"/>
      <c r="J142" s="175">
        <f>SUM(J12+J18+J24+J30+J36+J42+J48+J54+J60+J66+J72+J78+J84+J90+J96+J102+J108+J114+J120+J126+J132+J138)</f>
        <v>0</v>
      </c>
      <c r="K142" s="175">
        <f>SUM(K12+K18+K24+K30+K36+K42+K48+K54+K60+K66+K72+K78+K84+K90+K96+K102+K108+K114+K120+K126+K132+K138)</f>
        <v>0</v>
      </c>
      <c r="L142" s="175">
        <f>SUM(L24+L30+L36+L54+L60+L66+L72+L78+L90+L96+L102+L108+L120+L126)</f>
        <v>1537098780</v>
      </c>
      <c r="M142" s="175">
        <f>SUM(M24+M30+M36+M54+M60+M66+M72+M78+M90+M96+M102+M108+M120+M126)</f>
        <v>1537098780</v>
      </c>
      <c r="N142" s="175">
        <f>SUM(N24+N30+N36+N54+N60+N66+N72+N78+N90+N96+N102+N108+N120+N126)</f>
        <v>1537098780</v>
      </c>
      <c r="O142" s="175">
        <f>SUM(O24+O30+O36+O54+O60+O66+O72+O78+O90+O96+O102+O108+O120+O126)</f>
        <v>1537098780</v>
      </c>
      <c r="P142" s="175">
        <f>SUM(P12+P18+P24+P30+P36+P42+P48+P54+P60+P66+P72+P78+P84+P90+P96+P102+P108+P114+P120+P126+P132+P138)</f>
        <v>1373812447</v>
      </c>
      <c r="Q142" s="175">
        <f>SUM(Q12+Q18+Q24+Q30+Q36+Q42+Q48+Q54+Q60+Q66+Q72+S78+Q84+Q90+Q96+Q102+Q108+Q114+Q120+Q126+Q132+Q138)</f>
        <v>8036023311</v>
      </c>
      <c r="R142" s="175">
        <f t="shared" ref="R142:AE142" si="38">SUM(R12+R18+R24+R30+R36+R42+R48+R54+R60+R66+R72+T78+R84+R90+R96+R102+R108+R114+R120+R126+R132+R138)</f>
        <v>8041298311</v>
      </c>
      <c r="S142" s="175">
        <v>8016646645</v>
      </c>
      <c r="T142" s="175">
        <f>SUM(T12+T18+T24+T30+T36+T42+T48+T54+T60+T66+T72+T78+T84+T90+T96+T102+T108+T114+T120+T126+T132+T138)</f>
        <v>8008946645</v>
      </c>
      <c r="U142" s="175">
        <f t="shared" si="38"/>
        <v>4948610549</v>
      </c>
      <c r="V142" s="175">
        <f t="shared" ref="V142:AA142" si="39">SUM(V12+V18+V24+V30+V36+V42+V48+V54+V60+V66+V72+V78+V84+V90+V96+V102+V108+V114+V120+V126+V132+V138)</f>
        <v>5763419746.996666</v>
      </c>
      <c r="W142" s="175">
        <f t="shared" si="39"/>
        <v>5718956504.996666</v>
      </c>
      <c r="X142" s="175">
        <f t="shared" si="39"/>
        <v>5717271504.996666</v>
      </c>
      <c r="Y142" s="175">
        <f t="shared" si="39"/>
        <v>5700646552.3299999</v>
      </c>
      <c r="Z142" s="175">
        <f t="shared" si="39"/>
        <v>5377659348.666667</v>
      </c>
      <c r="AA142" s="175">
        <f t="shared" si="39"/>
        <v>0</v>
      </c>
      <c r="AB142" s="175">
        <f>+AB12+AB18+AB24+AB30+AB36+AB42+AB48+AB54+AB60+AB66+AB72+AB78+AB84+AB90+AB96+AB102+AB108+AB114+AB120+AB126+AB132</f>
        <v>4956537982.003334</v>
      </c>
      <c r="AC142" s="175">
        <f t="shared" si="38"/>
        <v>4129614</v>
      </c>
      <c r="AD142" s="175">
        <f t="shared" si="38"/>
        <v>0</v>
      </c>
      <c r="AE142" s="175">
        <f t="shared" si="38"/>
        <v>12423861</v>
      </c>
      <c r="AF142" s="268">
        <f>+AF12+AF18+AF24+AF30+AF36+AF42+AF48+AF54+AF60+AF66+AF72+AF78+AF84+AF90+AF96+AF102+AF108+AF114+AF120+AF126+AF132</f>
        <v>0</v>
      </c>
      <c r="AG142" s="268">
        <f>+AG12+AG18+AG24+AG30+AG36+AG42+AG48+AG54+AG60+AG66+AG72+AG78+AG84+AG90+AG96+AG102+AG108+AG114+AG120+AG126+AG132</f>
        <v>2908991636</v>
      </c>
      <c r="AH142" s="175">
        <f>SUM(AH12+AH18+AH24+AH30+AH36+AH42+AH48+AH54+AH60+AH66+AH72+AH78+AH84+AH90+AH96+AH102+AH108+AH114+AH120+AH126+AH132+AH138)</f>
        <v>0</v>
      </c>
      <c r="AI142" s="175">
        <f>SUM(AI12+AI18+AI24+AI30+AI36+AI42+AI48+AI54+AI60+AI66+AI72+AI78+AI84+AI90+AI96+AI102+AI108+AI114+AI120+AI126+AI132+AI138)</f>
        <v>0</v>
      </c>
      <c r="AJ142" s="265"/>
      <c r="AK142" s="265"/>
      <c r="AL142" s="266"/>
      <c r="AM142" s="266"/>
      <c r="AN142" s="266"/>
      <c r="AO142" s="266"/>
      <c r="AP142" s="267"/>
    </row>
    <row r="143" spans="1:46" ht="35.25" customHeight="1" x14ac:dyDescent="0.25">
      <c r="A143" s="583"/>
      <c r="B143" s="584"/>
      <c r="C143" s="584"/>
      <c r="D143" s="584"/>
      <c r="E143" s="584"/>
      <c r="F143" s="585"/>
      <c r="G143" s="148" t="s">
        <v>15</v>
      </c>
      <c r="H143" s="269">
        <f>+H141+H142</f>
        <v>48488316475.91333</v>
      </c>
      <c r="I143" s="269"/>
      <c r="J143" s="269">
        <f t="shared" ref="J143:Q143" si="40">+J141+J142</f>
        <v>3463707539</v>
      </c>
      <c r="K143" s="269">
        <f t="shared" si="40"/>
        <v>2644510628</v>
      </c>
      <c r="L143" s="269">
        <f t="shared" si="40"/>
        <v>21941680326</v>
      </c>
      <c r="M143" s="269">
        <f t="shared" si="40"/>
        <v>21827371159</v>
      </c>
      <c r="N143" s="269">
        <f t="shared" si="40"/>
        <v>21827371159</v>
      </c>
      <c r="O143" s="269">
        <f t="shared" si="40"/>
        <v>21827371159</v>
      </c>
      <c r="P143" s="269">
        <f t="shared" si="40"/>
        <v>18411847429.91333</v>
      </c>
      <c r="Q143" s="269">
        <f t="shared" si="40"/>
        <v>22040883311</v>
      </c>
      <c r="R143" s="269">
        <f>+R141+R142</f>
        <v>22040958311</v>
      </c>
      <c r="S143" s="269">
        <v>21199106980</v>
      </c>
      <c r="T143" s="269">
        <f>+T141+T142</f>
        <v>20800206980</v>
      </c>
      <c r="U143" s="269"/>
      <c r="V143" s="269">
        <f>+V141+V142</f>
        <v>23363419746.996666</v>
      </c>
      <c r="W143" s="269">
        <v>23363419746.996666</v>
      </c>
      <c r="X143" s="269">
        <f t="shared" ref="X143:AD143" si="41">+X141+X142</f>
        <v>22766030556.996666</v>
      </c>
      <c r="Y143" s="269">
        <f t="shared" si="41"/>
        <v>21824243034.330002</v>
      </c>
      <c r="Z143" s="269">
        <f t="shared" si="41"/>
        <v>19374914482.666668</v>
      </c>
      <c r="AA143" s="269">
        <f t="shared" si="41"/>
        <v>0</v>
      </c>
      <c r="AB143" s="269">
        <f>+AB141+AB142</f>
        <v>19277095052.003334</v>
      </c>
      <c r="AC143" s="269">
        <f t="shared" si="41"/>
        <v>4129614</v>
      </c>
      <c r="AD143" s="269">
        <f t="shared" si="41"/>
        <v>0</v>
      </c>
      <c r="AE143" s="269"/>
      <c r="AF143" s="269">
        <f>+AF141+AF142</f>
        <v>0</v>
      </c>
      <c r="AG143" s="269">
        <f>+AG141+AG142</f>
        <v>6199609882</v>
      </c>
      <c r="AH143" s="269">
        <f>+AH141+AH142</f>
        <v>0</v>
      </c>
      <c r="AI143" s="269">
        <f>+AI141+AI142</f>
        <v>0</v>
      </c>
      <c r="AJ143" s="265"/>
      <c r="AK143" s="265"/>
      <c r="AL143" s="266"/>
      <c r="AM143" s="266"/>
      <c r="AN143" s="266"/>
      <c r="AO143" s="266"/>
      <c r="AP143" s="270"/>
      <c r="AQ143" s="6"/>
      <c r="AR143" s="6"/>
      <c r="AS143" s="6"/>
      <c r="AT143" s="6"/>
    </row>
    <row r="144" spans="1:46" ht="71.25" customHeight="1" x14ac:dyDescent="0.25">
      <c r="A144" s="576" t="s">
        <v>32</v>
      </c>
      <c r="B144" s="576"/>
      <c r="C144" s="576"/>
      <c r="D144" s="576"/>
      <c r="E144" s="576"/>
      <c r="F144" s="576"/>
      <c r="G144" s="576"/>
      <c r="H144" s="576"/>
      <c r="I144" s="576"/>
      <c r="J144" s="576"/>
      <c r="K144" s="576"/>
      <c r="L144" s="576"/>
      <c r="M144" s="576"/>
      <c r="N144" s="576"/>
      <c r="O144" s="576"/>
      <c r="P144" s="576"/>
      <c r="Q144" s="576"/>
      <c r="R144" s="576"/>
      <c r="S144" s="576"/>
      <c r="T144" s="576"/>
      <c r="U144" s="576"/>
      <c r="V144" s="576"/>
      <c r="W144" s="576"/>
      <c r="X144" s="576"/>
      <c r="Y144" s="576"/>
      <c r="Z144" s="576"/>
      <c r="AA144" s="576"/>
      <c r="AB144" s="576"/>
      <c r="AC144" s="576"/>
      <c r="AD144" s="576"/>
      <c r="AE144" s="576"/>
      <c r="AF144" s="576"/>
      <c r="AG144" s="576"/>
      <c r="AH144" s="576"/>
      <c r="AI144" s="576"/>
      <c r="AJ144" s="576"/>
      <c r="AK144" s="576"/>
      <c r="AL144" s="576"/>
      <c r="AM144" s="576"/>
      <c r="AN144" s="576"/>
      <c r="AO144" s="576"/>
      <c r="AP144" s="576"/>
    </row>
    <row r="145" spans="1:42" x14ac:dyDescent="0.25">
      <c r="A145" s="271"/>
      <c r="B145" s="271"/>
      <c r="C145" s="271"/>
      <c r="D145" s="203"/>
      <c r="E145" s="203"/>
      <c r="F145" s="203"/>
      <c r="G145" s="204"/>
      <c r="H145" s="205"/>
      <c r="I145" s="205"/>
      <c r="J145" s="205"/>
      <c r="K145" s="205"/>
      <c r="L145" s="205"/>
      <c r="M145" s="205"/>
      <c r="N145" s="205"/>
      <c r="O145" s="205"/>
      <c r="P145" s="205"/>
      <c r="Q145" s="205"/>
      <c r="R145" s="205"/>
      <c r="S145" s="205"/>
      <c r="T145" s="205"/>
      <c r="U145" s="205"/>
      <c r="V145" s="206"/>
      <c r="W145" s="205"/>
      <c r="X145" s="205"/>
      <c r="Y145" s="205"/>
      <c r="Z145" s="205"/>
      <c r="AA145" s="205"/>
      <c r="AB145" s="205"/>
      <c r="AC145" s="205"/>
      <c r="AD145" s="205"/>
      <c r="AE145" s="205"/>
      <c r="AF145" s="205"/>
      <c r="AG145" s="205"/>
      <c r="AH145" s="205"/>
      <c r="AI145" s="205"/>
      <c r="AJ145" s="205"/>
      <c r="AK145" s="272"/>
      <c r="AL145" s="271"/>
      <c r="AM145" s="273"/>
      <c r="AN145" s="273"/>
      <c r="AO145" s="274"/>
      <c r="AP145" s="274"/>
    </row>
    <row r="146" spans="1:42" x14ac:dyDescent="0.25">
      <c r="A146" s="271"/>
      <c r="B146" s="271"/>
      <c r="C146" s="271"/>
      <c r="D146" s="203"/>
      <c r="E146" s="203"/>
      <c r="F146" s="203"/>
      <c r="G146" s="204"/>
      <c r="H146" s="205"/>
      <c r="I146" s="205"/>
      <c r="J146" s="205"/>
      <c r="K146" s="205"/>
      <c r="L146" s="205"/>
      <c r="M146" s="205"/>
      <c r="N146" s="205"/>
      <c r="O146" s="205"/>
      <c r="P146" s="205"/>
      <c r="Q146" s="205"/>
      <c r="R146" s="205"/>
      <c r="S146" s="205"/>
      <c r="T146" s="205"/>
      <c r="U146" s="205"/>
      <c r="V146" s="205"/>
      <c r="W146" s="205"/>
      <c r="X146" s="205"/>
      <c r="Y146" s="205"/>
      <c r="Z146" s="271"/>
      <c r="AA146" s="205"/>
      <c r="AB146" s="205"/>
      <c r="AC146" s="205"/>
      <c r="AD146" s="205"/>
      <c r="AE146" s="205"/>
      <c r="AF146" s="205"/>
      <c r="AG146" s="205"/>
      <c r="AH146" s="205"/>
      <c r="AI146" s="205"/>
      <c r="AJ146" s="205"/>
      <c r="AK146" s="271"/>
      <c r="AL146" s="271"/>
      <c r="AM146" s="273"/>
      <c r="AN146" s="273"/>
      <c r="AO146" s="274"/>
      <c r="AP146" s="274"/>
    </row>
    <row r="147" spans="1:42" x14ac:dyDescent="0.25">
      <c r="A147" s="271"/>
      <c r="B147" s="271"/>
      <c r="C147" s="271"/>
      <c r="D147" s="203"/>
      <c r="E147" s="203"/>
      <c r="F147" s="203"/>
      <c r="G147" s="204"/>
      <c r="H147" s="205"/>
      <c r="I147" s="205"/>
      <c r="J147" s="205"/>
      <c r="K147" s="205"/>
      <c r="L147" s="205"/>
      <c r="M147" s="205"/>
      <c r="N147" s="205"/>
      <c r="O147" s="205"/>
      <c r="P147" s="205"/>
      <c r="Q147" s="205"/>
      <c r="R147" s="205"/>
      <c r="S147" s="205"/>
      <c r="T147" s="205"/>
      <c r="U147" s="205"/>
      <c r="V147" s="205"/>
      <c r="W147" s="207"/>
      <c r="X147" s="205"/>
      <c r="Y147" s="205"/>
      <c r="Z147" s="205"/>
      <c r="AA147" s="205"/>
      <c r="AB147" s="205"/>
      <c r="AC147" s="205"/>
      <c r="AD147" s="205"/>
      <c r="AE147" s="205"/>
      <c r="AF147" s="205"/>
      <c r="AG147" s="205"/>
      <c r="AH147" s="205"/>
      <c r="AI147" s="205"/>
      <c r="AJ147" s="205"/>
      <c r="AK147" s="275"/>
      <c r="AL147" s="271"/>
      <c r="AM147" s="273"/>
      <c r="AN147" s="273"/>
      <c r="AO147" s="274"/>
      <c r="AP147" s="274"/>
    </row>
    <row r="148" spans="1:42" x14ac:dyDescent="0.25">
      <c r="A148" s="271"/>
      <c r="B148" s="271"/>
      <c r="C148" s="271"/>
      <c r="D148" s="203"/>
      <c r="E148" s="203"/>
      <c r="F148" s="203"/>
      <c r="G148" s="204"/>
      <c r="H148" s="205"/>
      <c r="I148" s="205"/>
      <c r="J148" s="205"/>
      <c r="K148" s="276"/>
      <c r="L148" s="205"/>
      <c r="M148" s="205"/>
      <c r="N148" s="205"/>
      <c r="O148" s="205"/>
      <c r="P148" s="208"/>
      <c r="Q148" s="209"/>
      <c r="R148" s="205"/>
      <c r="S148" s="205"/>
      <c r="T148" s="205"/>
      <c r="U148" s="208"/>
      <c r="V148" s="206"/>
      <c r="W148" s="208"/>
      <c r="X148" s="205"/>
      <c r="Y148" s="205"/>
      <c r="Z148" s="206"/>
      <c r="AA148" s="205"/>
      <c r="AB148" s="205"/>
      <c r="AC148" s="205"/>
      <c r="AD148" s="205"/>
      <c r="AE148" s="205"/>
      <c r="AF148" s="205"/>
      <c r="AG148" s="205"/>
      <c r="AH148" s="205"/>
      <c r="AI148" s="205"/>
      <c r="AJ148" s="205"/>
      <c r="AK148" s="277"/>
      <c r="AL148" s="271"/>
      <c r="AM148" s="278"/>
      <c r="AN148" s="278"/>
      <c r="AO148" s="277"/>
      <c r="AP148" s="277"/>
    </row>
    <row r="149" spans="1:42" x14ac:dyDescent="0.25">
      <c r="A149" s="271"/>
      <c r="B149" s="271"/>
      <c r="C149" s="271"/>
      <c r="D149" s="203"/>
      <c r="E149" s="203"/>
      <c r="F149" s="203"/>
      <c r="G149" s="204"/>
      <c r="H149" s="205"/>
      <c r="I149" s="205"/>
      <c r="J149" s="205"/>
      <c r="K149" s="276"/>
      <c r="L149" s="205"/>
      <c r="M149" s="205"/>
      <c r="N149" s="205"/>
      <c r="O149" s="205"/>
      <c r="P149" s="208"/>
      <c r="Q149" s="209"/>
      <c r="R149" s="205"/>
      <c r="S149" s="205"/>
      <c r="T149" s="205"/>
      <c r="U149" s="208"/>
      <c r="V149" s="206"/>
      <c r="W149" s="210"/>
      <c r="X149" s="205"/>
      <c r="Y149" s="205"/>
      <c r="Z149" s="206"/>
      <c r="AA149" s="205"/>
      <c r="AB149" s="205"/>
      <c r="AC149" s="205"/>
      <c r="AD149" s="205"/>
      <c r="AE149" s="205"/>
      <c r="AF149" s="205"/>
      <c r="AG149" s="205"/>
      <c r="AH149" s="205"/>
      <c r="AI149" s="205"/>
      <c r="AJ149" s="205"/>
      <c r="AK149" s="277"/>
      <c r="AL149" s="271"/>
      <c r="AM149" s="278"/>
      <c r="AN149" s="278"/>
      <c r="AO149" s="277"/>
      <c r="AP149" s="277"/>
    </row>
    <row r="150" spans="1:42" x14ac:dyDescent="0.25">
      <c r="A150" s="271"/>
      <c r="B150" s="271"/>
      <c r="C150" s="271"/>
      <c r="D150" s="203"/>
      <c r="E150" s="203"/>
      <c r="F150" s="203"/>
      <c r="G150" s="204"/>
      <c r="H150" s="205"/>
      <c r="I150" s="205"/>
      <c r="J150" s="205"/>
      <c r="K150" s="276"/>
      <c r="L150" s="205"/>
      <c r="M150" s="205"/>
      <c r="N150" s="205"/>
      <c r="O150" s="205"/>
      <c r="P150" s="208"/>
      <c r="Q150" s="209"/>
      <c r="R150" s="205"/>
      <c r="S150" s="205"/>
      <c r="T150" s="205"/>
      <c r="U150" s="208"/>
      <c r="V150" s="206"/>
      <c r="W150" s="210"/>
      <c r="X150" s="205"/>
      <c r="Y150" s="205"/>
      <c r="Z150" s="206"/>
      <c r="AA150" s="205"/>
      <c r="AB150" s="205"/>
      <c r="AC150" s="205"/>
      <c r="AD150" s="205"/>
      <c r="AE150" s="205"/>
      <c r="AF150" s="205"/>
      <c r="AG150" s="205"/>
      <c r="AH150" s="205"/>
      <c r="AI150" s="205"/>
      <c r="AJ150" s="205"/>
      <c r="AK150" s="277"/>
      <c r="AL150" s="271"/>
      <c r="AM150" s="278"/>
      <c r="AN150" s="278"/>
      <c r="AO150" s="279"/>
      <c r="AP150" s="277"/>
    </row>
    <row r="151" spans="1:42" x14ac:dyDescent="0.25">
      <c r="A151" s="271"/>
      <c r="B151" s="271"/>
      <c r="C151" s="271"/>
      <c r="D151" s="203"/>
      <c r="E151" s="203"/>
      <c r="F151" s="203"/>
      <c r="G151" s="204"/>
      <c r="H151" s="205"/>
      <c r="I151" s="205"/>
      <c r="J151" s="205"/>
      <c r="K151" s="276"/>
      <c r="L151" s="205"/>
      <c r="M151" s="205"/>
      <c r="N151" s="205"/>
      <c r="O151" s="205"/>
      <c r="P151" s="208"/>
      <c r="Q151" s="209"/>
      <c r="R151" s="205"/>
      <c r="S151" s="205"/>
      <c r="T151" s="205"/>
      <c r="U151" s="208"/>
      <c r="V151" s="206"/>
      <c r="W151" s="210"/>
      <c r="X151" s="205"/>
      <c r="Y151" s="205"/>
      <c r="Z151" s="206"/>
      <c r="AA151" s="205"/>
      <c r="AB151" s="205"/>
      <c r="AC151" s="205"/>
      <c r="AD151" s="205"/>
      <c r="AE151" s="205"/>
      <c r="AF151" s="205"/>
      <c r="AG151" s="205"/>
      <c r="AH151" s="205"/>
      <c r="AI151" s="205"/>
      <c r="AJ151" s="205"/>
      <c r="AK151" s="277"/>
      <c r="AL151" s="271"/>
      <c r="AM151" s="278"/>
      <c r="AN151" s="278"/>
      <c r="AO151" s="277"/>
      <c r="AP151" s="277"/>
    </row>
    <row r="152" spans="1:42" x14ac:dyDescent="0.25">
      <c r="A152" s="271"/>
      <c r="B152" s="271"/>
      <c r="C152" s="271"/>
      <c r="D152" s="203"/>
      <c r="E152" s="203"/>
      <c r="F152" s="203"/>
      <c r="G152" s="204"/>
      <c r="H152" s="205"/>
      <c r="I152" s="205"/>
      <c r="J152" s="205"/>
      <c r="K152" s="210"/>
      <c r="L152" s="205"/>
      <c r="M152" s="205"/>
      <c r="N152" s="205"/>
      <c r="O152" s="205"/>
      <c r="P152" s="211"/>
      <c r="Q152" s="209"/>
      <c r="R152" s="205"/>
      <c r="S152" s="205"/>
      <c r="T152" s="205"/>
      <c r="U152" s="208"/>
      <c r="V152" s="206"/>
      <c r="W152" s="206"/>
      <c r="X152" s="205"/>
      <c r="Y152" s="205"/>
      <c r="Z152" s="206"/>
      <c r="AA152" s="205"/>
      <c r="AB152" s="205"/>
      <c r="AC152" s="205"/>
      <c r="AD152" s="205"/>
      <c r="AE152" s="205"/>
      <c r="AF152" s="205"/>
      <c r="AG152" s="205"/>
      <c r="AH152" s="205"/>
      <c r="AI152" s="205"/>
      <c r="AJ152" s="205"/>
      <c r="AK152" s="277"/>
      <c r="AL152" s="277"/>
      <c r="AM152" s="277"/>
      <c r="AN152" s="277"/>
      <c r="AO152" s="277"/>
      <c r="AP152" s="212"/>
    </row>
    <row r="153" spans="1:42" x14ac:dyDescent="0.25">
      <c r="A153" s="271"/>
      <c r="B153" s="271"/>
      <c r="C153" s="271"/>
      <c r="D153" s="203"/>
      <c r="E153" s="203"/>
      <c r="F153" s="203"/>
      <c r="G153" s="204"/>
      <c r="H153" s="205"/>
      <c r="I153" s="205"/>
      <c r="J153" s="205"/>
      <c r="K153" s="205"/>
      <c r="L153" s="205"/>
      <c r="M153" s="205"/>
      <c r="N153" s="205"/>
      <c r="O153" s="205"/>
      <c r="P153" s="205"/>
      <c r="Q153" s="206"/>
      <c r="R153" s="205"/>
      <c r="S153" s="205"/>
      <c r="T153" s="205"/>
      <c r="U153" s="205"/>
      <c r="V153" s="205"/>
      <c r="W153" s="205"/>
      <c r="X153" s="205"/>
      <c r="Y153" s="205"/>
      <c r="Z153" s="205"/>
      <c r="AA153" s="205"/>
      <c r="AB153" s="205"/>
      <c r="AC153" s="205"/>
      <c r="AD153" s="205"/>
      <c r="AE153" s="205"/>
      <c r="AF153" s="271"/>
      <c r="AG153" s="271"/>
      <c r="AH153" s="278"/>
      <c r="AI153" s="278"/>
      <c r="AJ153" s="271"/>
      <c r="AK153" s="280"/>
      <c r="AL153" s="280"/>
      <c r="AM153" s="274"/>
      <c r="AN153" s="274"/>
      <c r="AO153" s="274"/>
      <c r="AP153" s="274"/>
    </row>
    <row r="154" spans="1:42" x14ac:dyDescent="0.25">
      <c r="A154" s="271"/>
      <c r="B154" s="271"/>
      <c r="C154" s="271"/>
      <c r="D154" s="203"/>
      <c r="E154" s="203"/>
      <c r="F154" s="203"/>
      <c r="G154" s="204"/>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71"/>
      <c r="AG154" s="271"/>
      <c r="AH154" s="278"/>
      <c r="AI154" s="278"/>
      <c r="AJ154" s="271"/>
      <c r="AK154" s="280"/>
      <c r="AL154" s="271"/>
      <c r="AM154" s="274"/>
      <c r="AN154" s="274"/>
      <c r="AO154" s="274"/>
      <c r="AP154" s="274"/>
    </row>
    <row r="155" spans="1:42" x14ac:dyDescent="0.25">
      <c r="A155" s="39"/>
      <c r="B155" s="39"/>
      <c r="C155" s="39"/>
      <c r="D155" s="43"/>
      <c r="E155" s="43"/>
      <c r="F155" s="43"/>
      <c r="G155" s="44"/>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39"/>
      <c r="AG155" s="39"/>
      <c r="AH155" s="40"/>
      <c r="AI155" s="40"/>
      <c r="AJ155" s="39"/>
      <c r="AK155" s="39"/>
      <c r="AL155" s="39"/>
    </row>
    <row r="156" spans="1:42" x14ac:dyDescent="0.25">
      <c r="A156" s="39"/>
      <c r="B156" s="39"/>
      <c r="C156" s="39"/>
      <c r="D156" s="43"/>
      <c r="E156" s="43"/>
      <c r="F156" s="43"/>
      <c r="G156" s="44"/>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39"/>
      <c r="AG156" s="39"/>
      <c r="AH156" s="40"/>
      <c r="AI156" s="40"/>
      <c r="AJ156" s="39"/>
      <c r="AK156" s="39"/>
      <c r="AL156" s="39"/>
    </row>
    <row r="157" spans="1:42" s="36" customFormat="1" x14ac:dyDescent="0.25">
      <c r="A157" s="48"/>
      <c r="B157" s="48"/>
      <c r="C157" s="48"/>
      <c r="D157" s="49"/>
      <c r="E157" s="49"/>
      <c r="F157" s="49"/>
      <c r="G157" s="50"/>
      <c r="H157" s="45"/>
      <c r="I157" s="51"/>
      <c r="J157" s="51"/>
      <c r="K157" s="51"/>
      <c r="L157" s="51"/>
      <c r="M157" s="51"/>
      <c r="N157" s="51"/>
      <c r="O157" s="52"/>
      <c r="P157" s="60"/>
      <c r="Q157" s="61"/>
      <c r="R157" s="52"/>
      <c r="S157" s="52"/>
      <c r="T157" s="52"/>
      <c r="U157" s="55"/>
      <c r="V157" s="52"/>
      <c r="W157" s="52"/>
      <c r="X157" s="52"/>
      <c r="Y157" s="52"/>
      <c r="Z157" s="48"/>
      <c r="AA157" s="48"/>
      <c r="AB157" s="56"/>
      <c r="AC157" s="56"/>
      <c r="AD157" s="48"/>
      <c r="AE157" s="48"/>
      <c r="AF157" s="57"/>
      <c r="AG157" s="48"/>
      <c r="AH157" s="48"/>
      <c r="AI157" s="48"/>
      <c r="AJ157" s="57"/>
      <c r="AK157" s="48"/>
      <c r="AL157" s="48"/>
    </row>
    <row r="158" spans="1:42" x14ac:dyDescent="0.25">
      <c r="A158" s="39"/>
      <c r="B158" s="39"/>
      <c r="C158" s="39"/>
      <c r="D158" s="43"/>
      <c r="E158" s="43"/>
      <c r="F158" s="43"/>
      <c r="G158" s="44"/>
      <c r="H158" s="45"/>
      <c r="I158" s="45"/>
      <c r="J158" s="45"/>
      <c r="K158" s="47"/>
      <c r="L158" s="47"/>
      <c r="M158" s="47"/>
      <c r="N158" s="47"/>
      <c r="O158" s="45"/>
      <c r="P158" s="60"/>
      <c r="Q158" s="61"/>
      <c r="R158" s="45"/>
      <c r="S158" s="45"/>
      <c r="T158" s="45"/>
      <c r="U158" s="55"/>
      <c r="V158" s="45"/>
      <c r="W158" s="45"/>
      <c r="X158" s="45"/>
      <c r="Y158" s="45"/>
      <c r="Z158" s="39"/>
      <c r="AA158" s="39"/>
      <c r="AB158" s="40"/>
      <c r="AC158" s="40"/>
      <c r="AD158" s="39"/>
      <c r="AE158" s="39"/>
      <c r="AF158" s="58"/>
      <c r="AG158" s="39"/>
      <c r="AH158" s="39"/>
      <c r="AI158" s="39"/>
      <c r="AJ158" s="57"/>
      <c r="AK158" s="39"/>
      <c r="AL158" s="39"/>
    </row>
    <row r="159" spans="1:42" x14ac:dyDescent="0.25">
      <c r="A159" s="39"/>
      <c r="B159" s="39"/>
      <c r="C159" s="39"/>
      <c r="D159" s="43"/>
      <c r="E159" s="43"/>
      <c r="F159" s="43"/>
      <c r="G159" s="44"/>
      <c r="H159" s="45"/>
      <c r="I159" s="45"/>
      <c r="J159" s="45"/>
      <c r="K159" s="47"/>
      <c r="L159" s="47"/>
      <c r="M159" s="47"/>
      <c r="N159" s="47"/>
      <c r="O159" s="45"/>
      <c r="P159" s="60"/>
      <c r="Q159" s="61"/>
      <c r="R159" s="45"/>
      <c r="S159" s="45"/>
      <c r="T159" s="45"/>
      <c r="U159" s="55"/>
      <c r="V159" s="45"/>
      <c r="W159" s="45"/>
      <c r="X159" s="45"/>
      <c r="Y159" s="45"/>
      <c r="Z159" s="39"/>
      <c r="AA159" s="39"/>
      <c r="AB159" s="40"/>
      <c r="AC159" s="40"/>
      <c r="AD159" s="39"/>
      <c r="AE159" s="39"/>
      <c r="AF159" s="46"/>
      <c r="AG159" s="39"/>
      <c r="AH159" s="39"/>
      <c r="AI159" s="39"/>
      <c r="AJ159" s="57"/>
      <c r="AK159" s="39"/>
      <c r="AL159" s="39"/>
    </row>
    <row r="160" spans="1:42" x14ac:dyDescent="0.25">
      <c r="A160" s="39"/>
      <c r="B160" s="39"/>
      <c r="C160" s="39"/>
      <c r="D160" s="43"/>
      <c r="E160" s="43"/>
      <c r="F160" s="43"/>
      <c r="G160" s="44"/>
      <c r="H160" s="45"/>
      <c r="I160" s="45"/>
      <c r="J160" s="45"/>
      <c r="K160" s="45"/>
      <c r="L160" s="45"/>
      <c r="M160" s="45"/>
      <c r="N160" s="45"/>
      <c r="O160" s="45"/>
      <c r="P160" s="60"/>
      <c r="Q160" s="61"/>
      <c r="R160" s="45"/>
      <c r="S160" s="45"/>
      <c r="T160" s="45"/>
      <c r="U160" s="55"/>
      <c r="V160" s="45"/>
      <c r="W160" s="45"/>
      <c r="X160" s="45"/>
      <c r="Y160" s="45"/>
      <c r="Z160" s="45"/>
      <c r="AA160" s="45"/>
      <c r="AB160" s="45"/>
      <c r="AC160" s="45"/>
      <c r="AD160" s="45"/>
      <c r="AE160" s="45"/>
      <c r="AF160" s="58"/>
      <c r="AG160" s="39"/>
      <c r="AH160" s="40"/>
      <c r="AI160" s="40"/>
      <c r="AJ160" s="57"/>
      <c r="AK160" s="39"/>
      <c r="AL160" s="39"/>
    </row>
    <row r="161" spans="1:38" x14ac:dyDescent="0.25">
      <c r="A161" s="39"/>
      <c r="B161" s="39"/>
      <c r="C161" s="39"/>
      <c r="D161" s="43"/>
      <c r="E161" s="43"/>
      <c r="F161" s="43"/>
      <c r="G161" s="44"/>
      <c r="H161" s="45"/>
      <c r="I161" s="45"/>
      <c r="J161" s="45"/>
      <c r="K161" s="45"/>
      <c r="L161" s="45"/>
      <c r="M161" s="45"/>
      <c r="N161" s="45"/>
      <c r="O161" s="45"/>
      <c r="P161" s="60"/>
      <c r="Q161" s="61"/>
      <c r="R161" s="45"/>
      <c r="S161" s="45"/>
      <c r="T161" s="45"/>
      <c r="U161" s="55"/>
      <c r="V161" s="45"/>
      <c r="W161" s="45"/>
      <c r="X161" s="45"/>
      <c r="Y161" s="45"/>
      <c r="Z161" s="45"/>
      <c r="AA161" s="45"/>
      <c r="AB161" s="45"/>
      <c r="AC161" s="45"/>
      <c r="AD161" s="45"/>
      <c r="AE161" s="45"/>
      <c r="AF161" s="41"/>
      <c r="AG161" s="39"/>
      <c r="AH161" s="40"/>
      <c r="AI161" s="40"/>
      <c r="AJ161" s="39"/>
      <c r="AK161" s="39"/>
      <c r="AL161" s="39"/>
    </row>
    <row r="162" spans="1:38" x14ac:dyDescent="0.25">
      <c r="A162" s="39"/>
      <c r="B162" s="39"/>
      <c r="C162" s="39"/>
      <c r="D162" s="43"/>
      <c r="E162" s="43"/>
      <c r="F162" s="43"/>
      <c r="G162" s="44"/>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39"/>
      <c r="AG162" s="39"/>
      <c r="AH162" s="40"/>
      <c r="AI162" s="40"/>
      <c r="AJ162" s="39"/>
      <c r="AK162" s="39"/>
      <c r="AL162" s="39"/>
    </row>
    <row r="163" spans="1:38" x14ac:dyDescent="0.25">
      <c r="A163" s="39"/>
      <c r="B163" s="39"/>
      <c r="C163" s="39"/>
      <c r="D163" s="43"/>
      <c r="E163" s="43"/>
      <c r="F163" s="43"/>
      <c r="G163" s="44"/>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39"/>
      <c r="AG163" s="39"/>
      <c r="AH163" s="40"/>
      <c r="AI163" s="40"/>
      <c r="AJ163" s="39"/>
      <c r="AK163" s="39"/>
      <c r="AL163" s="39"/>
    </row>
    <row r="164" spans="1:38" x14ac:dyDescent="0.25">
      <c r="A164" s="39"/>
      <c r="B164" s="39"/>
      <c r="C164" s="39"/>
      <c r="D164" s="43"/>
      <c r="E164" s="43"/>
      <c r="F164" s="43"/>
      <c r="G164" s="44"/>
      <c r="H164" s="53"/>
      <c r="I164" s="54"/>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39"/>
      <c r="AG164" s="39"/>
      <c r="AH164" s="40"/>
      <c r="AI164" s="40"/>
      <c r="AJ164" s="39"/>
      <c r="AK164" s="39"/>
      <c r="AL164" s="39"/>
    </row>
    <row r="165" spans="1:38" x14ac:dyDescent="0.25">
      <c r="A165" s="39"/>
      <c r="B165" s="39"/>
      <c r="C165" s="39"/>
      <c r="D165" s="43"/>
      <c r="E165" s="43"/>
      <c r="F165" s="43"/>
      <c r="G165" s="44"/>
      <c r="H165" s="53"/>
      <c r="I165" s="54"/>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39"/>
      <c r="AG165" s="39"/>
      <c r="AH165" s="40"/>
      <c r="AI165" s="40"/>
      <c r="AJ165" s="39"/>
      <c r="AK165" s="39"/>
      <c r="AL165" s="39"/>
    </row>
    <row r="166" spans="1:38" x14ac:dyDescent="0.25">
      <c r="A166" s="39"/>
      <c r="B166" s="39"/>
      <c r="C166" s="39"/>
      <c r="D166" s="43"/>
      <c r="E166" s="43"/>
      <c r="F166" s="43"/>
      <c r="G166" s="44"/>
      <c r="H166" s="53"/>
      <c r="I166" s="54"/>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39"/>
      <c r="AG166" s="39"/>
      <c r="AH166" s="40"/>
      <c r="AI166" s="40"/>
      <c r="AJ166" s="39"/>
      <c r="AK166" s="39"/>
      <c r="AL166" s="39"/>
    </row>
    <row r="167" spans="1:38" x14ac:dyDescent="0.25">
      <c r="A167" s="39"/>
      <c r="B167" s="39"/>
      <c r="C167" s="39"/>
      <c r="D167" s="43"/>
      <c r="E167" s="43"/>
      <c r="F167" s="43"/>
      <c r="G167" s="44"/>
      <c r="H167" s="53"/>
      <c r="I167" s="54"/>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39"/>
      <c r="AG167" s="39"/>
      <c r="AH167" s="40"/>
      <c r="AI167" s="40"/>
      <c r="AJ167" s="39"/>
      <c r="AK167" s="39"/>
      <c r="AL167" s="39"/>
    </row>
    <row r="168" spans="1:38" x14ac:dyDescent="0.25">
      <c r="A168" s="39"/>
      <c r="B168" s="39"/>
      <c r="C168" s="39"/>
      <c r="D168" s="43"/>
      <c r="E168" s="43"/>
      <c r="F168" s="43"/>
      <c r="G168" s="44"/>
      <c r="H168" s="53"/>
      <c r="I168" s="54"/>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39"/>
      <c r="AG168" s="39"/>
      <c r="AH168" s="40"/>
      <c r="AI168" s="40"/>
      <c r="AJ168" s="39"/>
      <c r="AK168" s="39"/>
      <c r="AL168" s="39"/>
    </row>
    <row r="169" spans="1:38" x14ac:dyDescent="0.25">
      <c r="A169" s="39"/>
      <c r="B169" s="39"/>
      <c r="C169" s="39"/>
      <c r="D169" s="43"/>
      <c r="E169" s="43"/>
      <c r="F169" s="43"/>
      <c r="G169" s="44"/>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39"/>
      <c r="AG169" s="39"/>
      <c r="AH169" s="40"/>
      <c r="AI169" s="40"/>
      <c r="AJ169" s="39"/>
      <c r="AK169" s="39"/>
      <c r="AL169" s="39"/>
    </row>
    <row r="170" spans="1:38" x14ac:dyDescent="0.25">
      <c r="A170" s="39"/>
      <c r="B170" s="39"/>
      <c r="C170" s="39"/>
      <c r="D170" s="43"/>
      <c r="E170" s="43"/>
      <c r="F170" s="43"/>
      <c r="G170" s="44"/>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39"/>
      <c r="AG170" s="39"/>
      <c r="AH170" s="40"/>
      <c r="AI170" s="40"/>
      <c r="AJ170" s="39"/>
      <c r="AK170" s="39"/>
      <c r="AL170" s="39"/>
    </row>
  </sheetData>
  <mergeCells count="254">
    <mergeCell ref="A51:A98"/>
    <mergeCell ref="A9:A50"/>
    <mergeCell ref="A99:A116"/>
    <mergeCell ref="A117:A140"/>
    <mergeCell ref="AP129:AP134"/>
    <mergeCell ref="F129:F134"/>
    <mergeCell ref="AL129:AL134"/>
    <mergeCell ref="AM129:AM134"/>
    <mergeCell ref="AN129:AN134"/>
    <mergeCell ref="AO129:AO134"/>
    <mergeCell ref="B129:B134"/>
    <mergeCell ref="C129:C134"/>
    <mergeCell ref="D129:D134"/>
    <mergeCell ref="E129:E134"/>
    <mergeCell ref="AL117:AL122"/>
    <mergeCell ref="AM117:AM122"/>
    <mergeCell ref="AN117:AN122"/>
    <mergeCell ref="AO117:AO122"/>
    <mergeCell ref="AP117:AP122"/>
    <mergeCell ref="B117:B122"/>
    <mergeCell ref="C117:C122"/>
    <mergeCell ref="D117:D122"/>
    <mergeCell ref="E117:E122"/>
    <mergeCell ref="F117:F122"/>
    <mergeCell ref="AL123:AL128"/>
    <mergeCell ref="AM123:AM128"/>
    <mergeCell ref="AN123:AN128"/>
    <mergeCell ref="AO123:AO128"/>
    <mergeCell ref="AP123:AP128"/>
    <mergeCell ref="B123:B128"/>
    <mergeCell ref="C123:C128"/>
    <mergeCell ref="D123:D128"/>
    <mergeCell ref="E123:E128"/>
    <mergeCell ref="F123:F128"/>
    <mergeCell ref="AL111:AL116"/>
    <mergeCell ref="AM111:AM116"/>
    <mergeCell ref="AN111:AN116"/>
    <mergeCell ref="AO111:AO116"/>
    <mergeCell ref="AP111:AP116"/>
    <mergeCell ref="B111:B116"/>
    <mergeCell ref="C111:C116"/>
    <mergeCell ref="D111:D116"/>
    <mergeCell ref="E111:E116"/>
    <mergeCell ref="F111:F116"/>
    <mergeCell ref="AL75:AL80"/>
    <mergeCell ref="AM75:AM80"/>
    <mergeCell ref="AN75:AN80"/>
    <mergeCell ref="AO75:AO80"/>
    <mergeCell ref="AP75:AP80"/>
    <mergeCell ref="B75:B80"/>
    <mergeCell ref="C75:C80"/>
    <mergeCell ref="D75:D80"/>
    <mergeCell ref="E75:E80"/>
    <mergeCell ref="F75:F80"/>
    <mergeCell ref="AL69:AL74"/>
    <mergeCell ref="AM69:AM74"/>
    <mergeCell ref="AN69:AN74"/>
    <mergeCell ref="AO69:AO74"/>
    <mergeCell ref="AP69:AP74"/>
    <mergeCell ref="B69:B74"/>
    <mergeCell ref="C69:C74"/>
    <mergeCell ref="D69:D74"/>
    <mergeCell ref="E69:E74"/>
    <mergeCell ref="F69:F74"/>
    <mergeCell ref="F81:F86"/>
    <mergeCell ref="AL87:AL92"/>
    <mergeCell ref="AM87:AM92"/>
    <mergeCell ref="AN87:AN92"/>
    <mergeCell ref="AO87:AO92"/>
    <mergeCell ref="AP87:AP92"/>
    <mergeCell ref="B87:B92"/>
    <mergeCell ref="C87:C92"/>
    <mergeCell ref="D87:D92"/>
    <mergeCell ref="E87:E92"/>
    <mergeCell ref="F87:F92"/>
    <mergeCell ref="AO63:AO68"/>
    <mergeCell ref="AP63:AP68"/>
    <mergeCell ref="B63:B68"/>
    <mergeCell ref="C63:C68"/>
    <mergeCell ref="D63:D68"/>
    <mergeCell ref="E63:E68"/>
    <mergeCell ref="F63:F68"/>
    <mergeCell ref="AL93:AL98"/>
    <mergeCell ref="AM93:AM98"/>
    <mergeCell ref="AN93:AN98"/>
    <mergeCell ref="AO93:AO98"/>
    <mergeCell ref="AP93:AP98"/>
    <mergeCell ref="B93:B98"/>
    <mergeCell ref="C93:C98"/>
    <mergeCell ref="D93:D98"/>
    <mergeCell ref="E93:E98"/>
    <mergeCell ref="F93:F98"/>
    <mergeCell ref="AL81:AL86"/>
    <mergeCell ref="AM81:AM86"/>
    <mergeCell ref="AN81:AN86"/>
    <mergeCell ref="AO81:AO86"/>
    <mergeCell ref="AP81:AP86"/>
    <mergeCell ref="B81:B86"/>
    <mergeCell ref="C81:C86"/>
    <mergeCell ref="AO51:AO56"/>
    <mergeCell ref="AP51:AP56"/>
    <mergeCell ref="B51:B56"/>
    <mergeCell ref="C51:C56"/>
    <mergeCell ref="D51:D56"/>
    <mergeCell ref="E51:E56"/>
    <mergeCell ref="F51:F56"/>
    <mergeCell ref="AL57:AL62"/>
    <mergeCell ref="AM57:AM62"/>
    <mergeCell ref="AN57:AN62"/>
    <mergeCell ref="AO57:AO62"/>
    <mergeCell ref="AP57:AP62"/>
    <mergeCell ref="B57:B62"/>
    <mergeCell ref="C57:C62"/>
    <mergeCell ref="D57:D62"/>
    <mergeCell ref="E57:E62"/>
    <mergeCell ref="F57:F62"/>
    <mergeCell ref="AO15:AO20"/>
    <mergeCell ref="AP15:AP20"/>
    <mergeCell ref="B15:B20"/>
    <mergeCell ref="C15:C20"/>
    <mergeCell ref="D15:D20"/>
    <mergeCell ref="E15:E20"/>
    <mergeCell ref="F15:F20"/>
    <mergeCell ref="AL21:AL26"/>
    <mergeCell ref="AM21:AM26"/>
    <mergeCell ref="AN21:AN26"/>
    <mergeCell ref="AO21:AO26"/>
    <mergeCell ref="AP21:AP26"/>
    <mergeCell ref="B21:B26"/>
    <mergeCell ref="C21:C26"/>
    <mergeCell ref="D21:D26"/>
    <mergeCell ref="E21:E26"/>
    <mergeCell ref="F21:F26"/>
    <mergeCell ref="AO27:AO32"/>
    <mergeCell ref="AP27:AP32"/>
    <mergeCell ref="B33:B38"/>
    <mergeCell ref="C33:C38"/>
    <mergeCell ref="D33:D38"/>
    <mergeCell ref="E33:E38"/>
    <mergeCell ref="F33:F38"/>
    <mergeCell ref="AL33:AL38"/>
    <mergeCell ref="AM33:AM38"/>
    <mergeCell ref="AN33:AN38"/>
    <mergeCell ref="AO33:AO38"/>
    <mergeCell ref="AP33:AP38"/>
    <mergeCell ref="B27:B32"/>
    <mergeCell ref="C27:C32"/>
    <mergeCell ref="D27:D32"/>
    <mergeCell ref="E27:E32"/>
    <mergeCell ref="F27:F32"/>
    <mergeCell ref="AO39:AO44"/>
    <mergeCell ref="AP39:AP44"/>
    <mergeCell ref="B45:B50"/>
    <mergeCell ref="C45:C50"/>
    <mergeCell ref="D45:D50"/>
    <mergeCell ref="E45:E50"/>
    <mergeCell ref="F45:F50"/>
    <mergeCell ref="AL45:AL50"/>
    <mergeCell ref="AM45:AM50"/>
    <mergeCell ref="AN45:AN50"/>
    <mergeCell ref="AO45:AO50"/>
    <mergeCell ref="AP45:AP50"/>
    <mergeCell ref="B39:B44"/>
    <mergeCell ref="C39:C44"/>
    <mergeCell ref="D39:D44"/>
    <mergeCell ref="E39:E44"/>
    <mergeCell ref="F39:F44"/>
    <mergeCell ref="AO99:AO104"/>
    <mergeCell ref="AP99:AP104"/>
    <mergeCell ref="B105:B110"/>
    <mergeCell ref="C105:C110"/>
    <mergeCell ref="D105:D110"/>
    <mergeCell ref="E105:E110"/>
    <mergeCell ref="F105:F110"/>
    <mergeCell ref="AL105:AL110"/>
    <mergeCell ref="AM105:AM110"/>
    <mergeCell ref="AN105:AN110"/>
    <mergeCell ref="AO105:AO110"/>
    <mergeCell ref="AP105:AP110"/>
    <mergeCell ref="B99:B104"/>
    <mergeCell ref="C99:C104"/>
    <mergeCell ref="D99:D104"/>
    <mergeCell ref="E99:E104"/>
    <mergeCell ref="F99:F104"/>
    <mergeCell ref="F9:F14"/>
    <mergeCell ref="AN135:AN140"/>
    <mergeCell ref="D135:D140"/>
    <mergeCell ref="F135:F140"/>
    <mergeCell ref="AL99:AL104"/>
    <mergeCell ref="AM99:AM104"/>
    <mergeCell ref="AN99:AN104"/>
    <mergeCell ref="AL39:AL44"/>
    <mergeCell ref="AM39:AM44"/>
    <mergeCell ref="AN39:AN44"/>
    <mergeCell ref="AL27:AL32"/>
    <mergeCell ref="AM27:AM32"/>
    <mergeCell ref="AN27:AN32"/>
    <mergeCell ref="AL15:AL20"/>
    <mergeCell ref="AM15:AM20"/>
    <mergeCell ref="AN15:AN20"/>
    <mergeCell ref="AL51:AL56"/>
    <mergeCell ref="AM51:AM56"/>
    <mergeCell ref="AN51:AN56"/>
    <mergeCell ref="AL63:AL68"/>
    <mergeCell ref="AM63:AM68"/>
    <mergeCell ref="AN63:AN68"/>
    <mergeCell ref="D81:D86"/>
    <mergeCell ref="E81:E86"/>
    <mergeCell ref="AP9:AP14"/>
    <mergeCell ref="AM9:AM14"/>
    <mergeCell ref="A144:AP144"/>
    <mergeCell ref="AO135:AO140"/>
    <mergeCell ref="AP135:AP140"/>
    <mergeCell ref="AN9:AN14"/>
    <mergeCell ref="AO9:AO14"/>
    <mergeCell ref="A141:F143"/>
    <mergeCell ref="A6:A8"/>
    <mergeCell ref="AN6:AN8"/>
    <mergeCell ref="AO6:AO8"/>
    <mergeCell ref="AP6:AP8"/>
    <mergeCell ref="B9:B14"/>
    <mergeCell ref="C9:C14"/>
    <mergeCell ref="D9:D14"/>
    <mergeCell ref="B135:B140"/>
    <mergeCell ref="C135:C140"/>
    <mergeCell ref="E9:E14"/>
    <mergeCell ref="AL9:AL14"/>
    <mergeCell ref="AL6:AL8"/>
    <mergeCell ref="E135:E140"/>
    <mergeCell ref="AL135:AL140"/>
    <mergeCell ref="AM135:AM140"/>
    <mergeCell ref="G6:G8"/>
    <mergeCell ref="H6:H8"/>
    <mergeCell ref="AK6:AK8"/>
    <mergeCell ref="B6:D7"/>
    <mergeCell ref="I6:AE6"/>
    <mergeCell ref="V7:Z7"/>
    <mergeCell ref="AA7:AE7"/>
    <mergeCell ref="A1:E4"/>
    <mergeCell ref="AF7:AI7"/>
    <mergeCell ref="I7:K7"/>
    <mergeCell ref="L7:P7"/>
    <mergeCell ref="Q7:U7"/>
    <mergeCell ref="F3:N3"/>
    <mergeCell ref="F4:N4"/>
    <mergeCell ref="O3:AP3"/>
    <mergeCell ref="O4:AP4"/>
    <mergeCell ref="F1:AP1"/>
    <mergeCell ref="F2:AP2"/>
    <mergeCell ref="F6:F8"/>
    <mergeCell ref="AF6:AI6"/>
    <mergeCell ref="AJ6:AJ8"/>
    <mergeCell ref="AM6:AM8"/>
    <mergeCell ref="E6:E8"/>
  </mergeCells>
  <dataValidations count="1">
    <dataValidation type="list" allowBlank="1" showInputMessage="1" showErrorMessage="1" sqref="D9:D140" xr:uid="{00000000-0002-0000-0100-000000000000}">
      <formula1>$AS$2:$AS$5</formula1>
    </dataValidation>
  </dataValidations>
  <printOptions horizontalCentered="1"/>
  <pageMargins left="0.19685039370078741" right="0.19685039370078741" top="0.15748031496062992" bottom="0" header="0.27559055118110237" footer="0"/>
  <pageSetup scale="30" fitToHeight="0" pageOrder="overThenDown" orientation="landscape" r:id="rId1"/>
  <headerFooter>
    <oddFooter>&amp;R&amp;N</oddFooter>
  </headerFooter>
  <colBreaks count="1" manualBreakCount="1">
    <brk id="22" max="29"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29"/>
  <sheetViews>
    <sheetView zoomScaleNormal="100" zoomScaleSheetLayoutView="50" workbookViewId="0">
      <selection activeCell="C8" sqref="C8:C9"/>
    </sheetView>
  </sheetViews>
  <sheetFormatPr baseColWidth="10" defaultColWidth="11.42578125" defaultRowHeight="12.75" x14ac:dyDescent="0.25"/>
  <cols>
    <col min="1" max="1" width="12.28515625" style="303" customWidth="1"/>
    <col min="2" max="2" width="15.28515625" style="303" customWidth="1"/>
    <col min="3" max="3" width="27.5703125" style="324" customWidth="1"/>
    <col min="4" max="4" width="6.140625" style="303" customWidth="1"/>
    <col min="5" max="5" width="7.85546875" style="303" customWidth="1"/>
    <col min="6" max="6" width="9.42578125" style="303" customWidth="1"/>
    <col min="7" max="7" width="7" style="303" customWidth="1"/>
    <col min="8" max="8" width="6.7109375" style="303" customWidth="1"/>
    <col min="9" max="13" width="7" style="303" customWidth="1"/>
    <col min="14" max="14" width="7" style="305" customWidth="1"/>
    <col min="15" max="18" width="9.5703125" style="305" customWidth="1"/>
    <col min="19" max="19" width="11.7109375" style="305" customWidth="1"/>
    <col min="20" max="21" width="8.7109375" style="305" customWidth="1"/>
    <col min="22" max="22" width="83.28515625" style="308" customWidth="1"/>
    <col min="23" max="23" width="15.7109375" style="308" customWidth="1"/>
    <col min="24" max="36" width="11.42578125" style="308"/>
    <col min="37" max="60" width="11.42578125" style="13"/>
    <col min="61" max="16384" width="11.42578125" style="9"/>
  </cols>
  <sheetData>
    <row r="1" spans="1:36" s="10" customFormat="1" ht="33" customHeight="1" x14ac:dyDescent="0.25">
      <c r="A1" s="674"/>
      <c r="B1" s="675"/>
      <c r="C1" s="680" t="s">
        <v>0</v>
      </c>
      <c r="D1" s="680"/>
      <c r="E1" s="680"/>
      <c r="F1" s="680"/>
      <c r="G1" s="680"/>
      <c r="H1" s="680"/>
      <c r="I1" s="680"/>
      <c r="J1" s="680"/>
      <c r="K1" s="680"/>
      <c r="L1" s="680"/>
      <c r="M1" s="680"/>
      <c r="N1" s="680"/>
      <c r="O1" s="680"/>
      <c r="P1" s="680"/>
      <c r="Q1" s="680"/>
      <c r="R1" s="680"/>
      <c r="S1" s="680"/>
      <c r="T1" s="680"/>
      <c r="U1" s="680"/>
      <c r="V1" s="681"/>
      <c r="W1" s="302"/>
      <c r="X1" s="302"/>
      <c r="Y1" s="302"/>
      <c r="Z1" s="302"/>
      <c r="AA1" s="302"/>
      <c r="AB1" s="302"/>
      <c r="AC1" s="302"/>
      <c r="AD1" s="302"/>
      <c r="AE1" s="302"/>
      <c r="AF1" s="302"/>
      <c r="AG1" s="302"/>
      <c r="AH1" s="302"/>
      <c r="AI1" s="302"/>
      <c r="AJ1" s="302"/>
    </row>
    <row r="2" spans="1:36" s="10" customFormat="1" ht="30" customHeight="1" x14ac:dyDescent="0.25">
      <c r="A2" s="676"/>
      <c r="B2" s="677"/>
      <c r="C2" s="682" t="s">
        <v>477</v>
      </c>
      <c r="D2" s="682"/>
      <c r="E2" s="682"/>
      <c r="F2" s="682"/>
      <c r="G2" s="682"/>
      <c r="H2" s="682"/>
      <c r="I2" s="682"/>
      <c r="J2" s="682"/>
      <c r="K2" s="682"/>
      <c r="L2" s="682"/>
      <c r="M2" s="682"/>
      <c r="N2" s="682"/>
      <c r="O2" s="682"/>
      <c r="P2" s="682"/>
      <c r="Q2" s="682"/>
      <c r="R2" s="682"/>
      <c r="S2" s="682"/>
      <c r="T2" s="682"/>
      <c r="U2" s="682"/>
      <c r="V2" s="683"/>
      <c r="W2" s="302"/>
      <c r="X2" s="302"/>
      <c r="Y2" s="302"/>
      <c r="Z2" s="302"/>
      <c r="AA2" s="302"/>
      <c r="AB2" s="302"/>
      <c r="AC2" s="302"/>
      <c r="AD2" s="302"/>
      <c r="AE2" s="302"/>
      <c r="AF2" s="302"/>
      <c r="AG2" s="302"/>
      <c r="AH2" s="302"/>
      <c r="AI2" s="302"/>
      <c r="AJ2" s="302"/>
    </row>
    <row r="3" spans="1:36" s="10" customFormat="1" ht="27.75" customHeight="1" x14ac:dyDescent="0.25">
      <c r="A3" s="676"/>
      <c r="B3" s="677"/>
      <c r="C3" s="23" t="s">
        <v>1</v>
      </c>
      <c r="D3" s="684" t="s">
        <v>478</v>
      </c>
      <c r="E3" s="685"/>
      <c r="F3" s="685"/>
      <c r="G3" s="685"/>
      <c r="H3" s="685"/>
      <c r="I3" s="685"/>
      <c r="J3" s="685"/>
      <c r="K3" s="685"/>
      <c r="L3" s="685"/>
      <c r="M3" s="685"/>
      <c r="N3" s="685"/>
      <c r="O3" s="685"/>
      <c r="P3" s="685"/>
      <c r="Q3" s="685"/>
      <c r="R3" s="685"/>
      <c r="S3" s="685"/>
      <c r="T3" s="685"/>
      <c r="U3" s="685"/>
      <c r="V3" s="685"/>
      <c r="W3" s="685"/>
      <c r="X3" s="685"/>
      <c r="Y3" s="685"/>
      <c r="Z3" s="686"/>
      <c r="AA3" s="302"/>
      <c r="AB3" s="302"/>
      <c r="AC3" s="302"/>
      <c r="AD3" s="302"/>
      <c r="AE3" s="302"/>
      <c r="AF3" s="302"/>
      <c r="AG3" s="302"/>
      <c r="AH3" s="302"/>
      <c r="AI3" s="302"/>
      <c r="AJ3" s="302"/>
    </row>
    <row r="4" spans="1:36" s="10" customFormat="1" ht="33" customHeight="1" thickBot="1" x14ac:dyDescent="0.3">
      <c r="A4" s="678"/>
      <c r="B4" s="679"/>
      <c r="C4" s="32" t="s">
        <v>16</v>
      </c>
      <c r="D4" s="687" t="s">
        <v>479</v>
      </c>
      <c r="E4" s="688"/>
      <c r="F4" s="688"/>
      <c r="G4" s="688"/>
      <c r="H4" s="688"/>
      <c r="I4" s="688"/>
      <c r="J4" s="688"/>
      <c r="K4" s="688"/>
      <c r="L4" s="688"/>
      <c r="M4" s="688"/>
      <c r="N4" s="688"/>
      <c r="O4" s="688"/>
      <c r="P4" s="688"/>
      <c r="Q4" s="688"/>
      <c r="R4" s="688"/>
      <c r="S4" s="688"/>
      <c r="T4" s="688"/>
      <c r="U4" s="688"/>
      <c r="V4" s="688"/>
      <c r="W4" s="688"/>
      <c r="X4" s="688"/>
      <c r="Y4" s="688"/>
      <c r="Z4" s="689"/>
      <c r="AA4" s="302"/>
      <c r="AB4" s="302"/>
      <c r="AC4" s="302"/>
      <c r="AD4" s="302"/>
      <c r="AE4" s="302"/>
      <c r="AF4" s="302"/>
      <c r="AG4" s="302"/>
      <c r="AH4" s="302"/>
      <c r="AI4" s="302"/>
      <c r="AJ4" s="302"/>
    </row>
    <row r="5" spans="1:36" s="10" customFormat="1" ht="13.5" thickBot="1" x14ac:dyDescent="0.3">
      <c r="A5" s="11"/>
      <c r="B5" s="303"/>
      <c r="C5" s="304"/>
      <c r="D5" s="303"/>
      <c r="E5" s="303"/>
      <c r="F5" s="303"/>
      <c r="G5" s="303"/>
      <c r="H5" s="303"/>
      <c r="I5" s="303"/>
      <c r="J5" s="303"/>
      <c r="K5" s="303"/>
      <c r="L5" s="303"/>
      <c r="M5" s="303"/>
      <c r="N5" s="305"/>
      <c r="O5" s="305"/>
      <c r="P5" s="305"/>
      <c r="Q5" s="305"/>
      <c r="R5" s="305"/>
      <c r="S5" s="305"/>
      <c r="T5" s="305"/>
      <c r="U5" s="305"/>
      <c r="V5" s="302"/>
      <c r="W5" s="302"/>
      <c r="X5" s="302"/>
      <c r="Y5" s="302"/>
      <c r="Z5" s="302"/>
      <c r="AA5" s="302"/>
      <c r="AB5" s="302"/>
      <c r="AC5" s="302"/>
      <c r="AD5" s="302"/>
      <c r="AE5" s="302"/>
      <c r="AF5" s="302"/>
      <c r="AG5" s="302"/>
      <c r="AH5" s="302"/>
      <c r="AI5" s="302"/>
      <c r="AJ5" s="302"/>
    </row>
    <row r="6" spans="1:36" s="12" customFormat="1" ht="42.75" customHeight="1" x14ac:dyDescent="0.25">
      <c r="A6" s="690" t="s">
        <v>55</v>
      </c>
      <c r="B6" s="692" t="s">
        <v>56</v>
      </c>
      <c r="C6" s="694" t="s">
        <v>57</v>
      </c>
      <c r="D6" s="696" t="s">
        <v>58</v>
      </c>
      <c r="E6" s="697"/>
      <c r="F6" s="692" t="s">
        <v>480</v>
      </c>
      <c r="G6" s="692"/>
      <c r="H6" s="692"/>
      <c r="I6" s="692"/>
      <c r="J6" s="692"/>
      <c r="K6" s="692"/>
      <c r="L6" s="692"/>
      <c r="M6" s="692"/>
      <c r="N6" s="692"/>
      <c r="O6" s="692"/>
      <c r="P6" s="692"/>
      <c r="Q6" s="692"/>
      <c r="R6" s="692"/>
      <c r="S6" s="692"/>
      <c r="T6" s="692" t="s">
        <v>62</v>
      </c>
      <c r="U6" s="692"/>
      <c r="V6" s="698" t="s">
        <v>481</v>
      </c>
      <c r="W6" s="306"/>
      <c r="X6" s="306"/>
      <c r="Y6" s="306"/>
      <c r="Z6" s="306"/>
      <c r="AA6" s="306"/>
      <c r="AB6" s="306"/>
      <c r="AC6" s="306"/>
      <c r="AD6" s="306"/>
      <c r="AE6" s="306"/>
      <c r="AF6" s="306"/>
      <c r="AG6" s="306"/>
      <c r="AH6" s="306"/>
      <c r="AI6" s="306"/>
      <c r="AJ6" s="306"/>
    </row>
    <row r="7" spans="1:36" s="12" customFormat="1" ht="44.25" customHeight="1" thickBot="1" x14ac:dyDescent="0.3">
      <c r="A7" s="691"/>
      <c r="B7" s="693"/>
      <c r="C7" s="695"/>
      <c r="D7" s="281" t="s">
        <v>59</v>
      </c>
      <c r="E7" s="281" t="s">
        <v>60</v>
      </c>
      <c r="F7" s="281" t="s">
        <v>61</v>
      </c>
      <c r="G7" s="282" t="s">
        <v>17</v>
      </c>
      <c r="H7" s="282" t="s">
        <v>18</v>
      </c>
      <c r="I7" s="282" t="s">
        <v>19</v>
      </c>
      <c r="J7" s="282" t="s">
        <v>20</v>
      </c>
      <c r="K7" s="282" t="s">
        <v>21</v>
      </c>
      <c r="L7" s="282" t="s">
        <v>22</v>
      </c>
      <c r="M7" s="282" t="s">
        <v>23</v>
      </c>
      <c r="N7" s="282" t="s">
        <v>24</v>
      </c>
      <c r="O7" s="282" t="s">
        <v>25</v>
      </c>
      <c r="P7" s="282" t="s">
        <v>26</v>
      </c>
      <c r="Q7" s="282" t="s">
        <v>27</v>
      </c>
      <c r="R7" s="282" t="s">
        <v>28</v>
      </c>
      <c r="S7" s="283" t="s">
        <v>29</v>
      </c>
      <c r="T7" s="283" t="s">
        <v>63</v>
      </c>
      <c r="U7" s="283" t="s">
        <v>64</v>
      </c>
      <c r="V7" s="699"/>
      <c r="W7" s="306"/>
      <c r="X7" s="306"/>
      <c r="Y7" s="306"/>
      <c r="Z7" s="306"/>
      <c r="AA7" s="306"/>
      <c r="AB7" s="306"/>
      <c r="AC7" s="306"/>
      <c r="AD7" s="306"/>
      <c r="AE7" s="306"/>
      <c r="AF7" s="306"/>
      <c r="AG7" s="306"/>
      <c r="AH7" s="306"/>
      <c r="AI7" s="306"/>
      <c r="AJ7" s="306"/>
    </row>
    <row r="8" spans="1:36" s="13" customFormat="1" ht="33" customHeight="1" x14ac:dyDescent="0.25">
      <c r="A8" s="700" t="s">
        <v>150</v>
      </c>
      <c r="B8" s="702" t="s">
        <v>182</v>
      </c>
      <c r="C8" s="704" t="s">
        <v>482</v>
      </c>
      <c r="D8" s="706" t="s">
        <v>181</v>
      </c>
      <c r="E8" s="706" t="s">
        <v>181</v>
      </c>
      <c r="F8" s="284" t="s">
        <v>483</v>
      </c>
      <c r="G8" s="325">
        <v>0.2</v>
      </c>
      <c r="H8" s="325">
        <v>0.2</v>
      </c>
      <c r="I8" s="325">
        <v>0.2</v>
      </c>
      <c r="J8" s="325">
        <v>0.2</v>
      </c>
      <c r="K8" s="325">
        <v>0.2</v>
      </c>
      <c r="L8" s="326"/>
      <c r="M8" s="326"/>
      <c r="N8" s="326"/>
      <c r="O8" s="307"/>
      <c r="P8" s="307"/>
      <c r="Q8" s="307"/>
      <c r="R8" s="307"/>
      <c r="S8" s="284">
        <f>SUM(G8:R8)</f>
        <v>1</v>
      </c>
      <c r="T8" s="708">
        <v>0.02</v>
      </c>
      <c r="U8" s="710">
        <v>0.02</v>
      </c>
      <c r="V8" s="712" t="s">
        <v>484</v>
      </c>
      <c r="W8" s="308"/>
      <c r="X8" s="308"/>
      <c r="Y8" s="308"/>
      <c r="Z8" s="308"/>
      <c r="AA8" s="308"/>
      <c r="AB8" s="308"/>
      <c r="AC8" s="308"/>
      <c r="AD8" s="308"/>
      <c r="AE8" s="308"/>
      <c r="AF8" s="308"/>
      <c r="AG8" s="308"/>
      <c r="AH8" s="308"/>
      <c r="AI8" s="308"/>
      <c r="AJ8" s="308"/>
    </row>
    <row r="9" spans="1:36" s="13" customFormat="1" ht="33" customHeight="1" x14ac:dyDescent="0.25">
      <c r="A9" s="701"/>
      <c r="B9" s="703"/>
      <c r="C9" s="705"/>
      <c r="D9" s="707"/>
      <c r="E9" s="707"/>
      <c r="F9" s="285" t="s">
        <v>485</v>
      </c>
      <c r="G9" s="309">
        <v>0.2</v>
      </c>
      <c r="H9" s="309">
        <v>0.1</v>
      </c>
      <c r="I9" s="309">
        <v>0.05</v>
      </c>
      <c r="J9" s="309">
        <v>0.3</v>
      </c>
      <c r="K9" s="309">
        <v>0.35</v>
      </c>
      <c r="L9" s="309"/>
      <c r="M9" s="309"/>
      <c r="N9" s="309"/>
      <c r="O9" s="310"/>
      <c r="P9" s="310"/>
      <c r="Q9" s="310"/>
      <c r="R9" s="310"/>
      <c r="S9" s="285">
        <f>SUM(G9:R9)</f>
        <v>1</v>
      </c>
      <c r="T9" s="709"/>
      <c r="U9" s="711"/>
      <c r="V9" s="713"/>
      <c r="W9" s="308"/>
      <c r="X9" s="308"/>
      <c r="Y9" s="308"/>
      <c r="Z9" s="308"/>
      <c r="AA9" s="308"/>
      <c r="AB9" s="308"/>
      <c r="AC9" s="308"/>
      <c r="AD9" s="308"/>
      <c r="AE9" s="308"/>
      <c r="AF9" s="308"/>
      <c r="AG9" s="308"/>
      <c r="AH9" s="308"/>
      <c r="AI9" s="308"/>
      <c r="AJ9" s="308"/>
    </row>
    <row r="10" spans="1:36" s="13" customFormat="1" ht="26.25" customHeight="1" x14ac:dyDescent="0.25">
      <c r="A10" s="701"/>
      <c r="B10" s="720" t="s">
        <v>486</v>
      </c>
      <c r="C10" s="715" t="s">
        <v>487</v>
      </c>
      <c r="D10" s="716" t="s">
        <v>181</v>
      </c>
      <c r="E10" s="716" t="s">
        <v>181</v>
      </c>
      <c r="F10" s="286" t="s">
        <v>483</v>
      </c>
      <c r="G10" s="327">
        <v>0.2</v>
      </c>
      <c r="H10" s="327">
        <v>0.1</v>
      </c>
      <c r="I10" s="327">
        <v>0.05</v>
      </c>
      <c r="J10" s="327">
        <v>0.3</v>
      </c>
      <c r="K10" s="327">
        <v>0.35</v>
      </c>
      <c r="L10" s="312"/>
      <c r="M10" s="312"/>
      <c r="N10" s="312"/>
      <c r="O10" s="311"/>
      <c r="P10" s="311"/>
      <c r="Q10" s="311"/>
      <c r="R10" s="311"/>
      <c r="S10" s="286">
        <f>SUM(G14:R14)</f>
        <v>1</v>
      </c>
      <c r="T10" s="717">
        <v>0.18</v>
      </c>
      <c r="U10" s="717">
        <v>0.06</v>
      </c>
      <c r="V10" s="714" t="s">
        <v>488</v>
      </c>
      <c r="W10" s="308"/>
      <c r="X10" s="308"/>
      <c r="Y10" s="308"/>
      <c r="Z10" s="308"/>
      <c r="AA10" s="308"/>
      <c r="AB10" s="308"/>
      <c r="AC10" s="308"/>
      <c r="AD10" s="308"/>
      <c r="AE10" s="308"/>
      <c r="AF10" s="308"/>
      <c r="AG10" s="308"/>
      <c r="AH10" s="308"/>
      <c r="AI10" s="308"/>
      <c r="AJ10" s="308"/>
    </row>
    <row r="11" spans="1:36" s="13" customFormat="1" ht="26.25" customHeight="1" x14ac:dyDescent="0.25">
      <c r="A11" s="701"/>
      <c r="B11" s="720"/>
      <c r="C11" s="715"/>
      <c r="D11" s="716"/>
      <c r="E11" s="716"/>
      <c r="F11" s="287" t="s">
        <v>485</v>
      </c>
      <c r="G11" s="312">
        <v>0.2</v>
      </c>
      <c r="H11" s="312">
        <v>0.1</v>
      </c>
      <c r="I11" s="312">
        <v>0.05</v>
      </c>
      <c r="J11" s="312">
        <v>0.3</v>
      </c>
      <c r="K11" s="312">
        <v>0.35</v>
      </c>
      <c r="L11" s="312"/>
      <c r="M11" s="312"/>
      <c r="N11" s="312"/>
      <c r="O11" s="311"/>
      <c r="P11" s="311"/>
      <c r="Q11" s="311"/>
      <c r="R11" s="311"/>
      <c r="S11" s="287">
        <f>SUM(G11:R11)</f>
        <v>1</v>
      </c>
      <c r="T11" s="717"/>
      <c r="U11" s="717"/>
      <c r="V11" s="714"/>
      <c r="W11" s="308"/>
      <c r="X11" s="308"/>
      <c r="Y11" s="308"/>
      <c r="Z11" s="308"/>
      <c r="AA11" s="308"/>
      <c r="AB11" s="308"/>
      <c r="AC11" s="308"/>
      <c r="AD11" s="308"/>
      <c r="AE11" s="308"/>
      <c r="AF11" s="308"/>
      <c r="AG11" s="308"/>
      <c r="AH11" s="308"/>
      <c r="AI11" s="308"/>
      <c r="AJ11" s="308"/>
    </row>
    <row r="12" spans="1:36" s="13" customFormat="1" ht="33" customHeight="1" x14ac:dyDescent="0.25">
      <c r="A12" s="701"/>
      <c r="B12" s="720"/>
      <c r="C12" s="715" t="s">
        <v>489</v>
      </c>
      <c r="D12" s="716" t="s">
        <v>181</v>
      </c>
      <c r="E12" s="716"/>
      <c r="F12" s="286" t="s">
        <v>483</v>
      </c>
      <c r="G12" s="327">
        <v>0.2</v>
      </c>
      <c r="H12" s="327">
        <v>0.1</v>
      </c>
      <c r="I12" s="327">
        <v>0.1</v>
      </c>
      <c r="J12" s="327">
        <v>0.3</v>
      </c>
      <c r="K12" s="327">
        <v>0.3</v>
      </c>
      <c r="L12" s="312"/>
      <c r="M12" s="312"/>
      <c r="N12" s="312"/>
      <c r="O12" s="311"/>
      <c r="P12" s="311"/>
      <c r="Q12" s="311"/>
      <c r="R12" s="311"/>
      <c r="S12" s="286">
        <f>SUM(G12:R12)</f>
        <v>1</v>
      </c>
      <c r="T12" s="717"/>
      <c r="U12" s="717">
        <v>0.1</v>
      </c>
      <c r="V12" s="718" t="s">
        <v>490</v>
      </c>
      <c r="W12" s="308"/>
      <c r="X12" s="308"/>
      <c r="Y12" s="308"/>
      <c r="Z12" s="308"/>
      <c r="AA12" s="308"/>
      <c r="AB12" s="308"/>
      <c r="AC12" s="308"/>
      <c r="AD12" s="308"/>
      <c r="AE12" s="308"/>
      <c r="AF12" s="308"/>
      <c r="AG12" s="308"/>
      <c r="AH12" s="308"/>
      <c r="AI12" s="308"/>
      <c r="AJ12" s="308"/>
    </row>
    <row r="13" spans="1:36" s="13" customFormat="1" ht="33" customHeight="1" x14ac:dyDescent="0.25">
      <c r="A13" s="701"/>
      <c r="B13" s="720"/>
      <c r="C13" s="715"/>
      <c r="D13" s="716"/>
      <c r="E13" s="716"/>
      <c r="F13" s="287" t="s">
        <v>485</v>
      </c>
      <c r="G13" s="288">
        <v>0.2</v>
      </c>
      <c r="H13" s="312">
        <v>0.1</v>
      </c>
      <c r="I13" s="312">
        <v>0.1</v>
      </c>
      <c r="J13" s="312">
        <v>0.3</v>
      </c>
      <c r="K13" s="312">
        <v>0.3</v>
      </c>
      <c r="L13" s="312"/>
      <c r="M13" s="312"/>
      <c r="N13" s="312"/>
      <c r="O13" s="311"/>
      <c r="P13" s="311"/>
      <c r="Q13" s="311"/>
      <c r="R13" s="311"/>
      <c r="S13" s="287">
        <f>SUM(G13:R13)</f>
        <v>1</v>
      </c>
      <c r="T13" s="717"/>
      <c r="U13" s="717"/>
      <c r="V13" s="719"/>
      <c r="W13" s="308"/>
      <c r="X13" s="308"/>
      <c r="Y13" s="308"/>
      <c r="Z13" s="308"/>
      <c r="AA13" s="308"/>
      <c r="AB13" s="308"/>
      <c r="AC13" s="308"/>
      <c r="AD13" s="308"/>
      <c r="AE13" s="308"/>
      <c r="AF13" s="308"/>
      <c r="AG13" s="308"/>
      <c r="AH13" s="308"/>
      <c r="AI13" s="308"/>
      <c r="AJ13" s="308"/>
    </row>
    <row r="14" spans="1:36" s="13" customFormat="1" ht="25.5" customHeight="1" x14ac:dyDescent="0.25">
      <c r="A14" s="701"/>
      <c r="B14" s="720"/>
      <c r="C14" s="715" t="s">
        <v>350</v>
      </c>
      <c r="D14" s="716" t="s">
        <v>181</v>
      </c>
      <c r="E14" s="716" t="s">
        <v>181</v>
      </c>
      <c r="F14" s="286" t="s">
        <v>483</v>
      </c>
      <c r="G14" s="327">
        <v>0.2</v>
      </c>
      <c r="H14" s="327">
        <v>0.2</v>
      </c>
      <c r="I14" s="327">
        <v>0.2</v>
      </c>
      <c r="J14" s="327">
        <v>0.2</v>
      </c>
      <c r="K14" s="327">
        <v>0.2</v>
      </c>
      <c r="L14" s="312"/>
      <c r="M14" s="312"/>
      <c r="N14" s="312"/>
      <c r="O14" s="311"/>
      <c r="P14" s="311"/>
      <c r="Q14" s="311"/>
      <c r="R14" s="311"/>
      <c r="S14" s="286">
        <f>SUM(G14:R14)</f>
        <v>1</v>
      </c>
      <c r="T14" s="717"/>
      <c r="U14" s="717">
        <v>0.02</v>
      </c>
      <c r="V14" s="718" t="s">
        <v>491</v>
      </c>
      <c r="W14" s="308"/>
      <c r="X14" s="308"/>
      <c r="Y14" s="308"/>
      <c r="Z14" s="308"/>
      <c r="AA14" s="308"/>
      <c r="AB14" s="308"/>
      <c r="AC14" s="308"/>
      <c r="AD14" s="308"/>
      <c r="AE14" s="308"/>
      <c r="AF14" s="308"/>
      <c r="AG14" s="308"/>
      <c r="AH14" s="308"/>
      <c r="AI14" s="308"/>
      <c r="AJ14" s="308"/>
    </row>
    <row r="15" spans="1:36" s="13" customFormat="1" ht="25.5" customHeight="1" x14ac:dyDescent="0.25">
      <c r="A15" s="701"/>
      <c r="B15" s="720"/>
      <c r="C15" s="715"/>
      <c r="D15" s="716"/>
      <c r="E15" s="716"/>
      <c r="F15" s="287" t="s">
        <v>485</v>
      </c>
      <c r="G15" s="289">
        <v>0.2</v>
      </c>
      <c r="H15" s="289">
        <v>0.2</v>
      </c>
      <c r="I15" s="289">
        <v>0.2</v>
      </c>
      <c r="J15" s="289">
        <v>0.2</v>
      </c>
      <c r="K15" s="289">
        <v>0.2</v>
      </c>
      <c r="L15" s="289"/>
      <c r="M15" s="289"/>
      <c r="N15" s="289"/>
      <c r="O15" s="290"/>
      <c r="P15" s="289"/>
      <c r="Q15" s="289"/>
      <c r="R15" s="289"/>
      <c r="S15" s="287">
        <f>SUM(G15:R15)</f>
        <v>1</v>
      </c>
      <c r="T15" s="717"/>
      <c r="U15" s="717"/>
      <c r="V15" s="719"/>
      <c r="W15" s="308"/>
      <c r="X15" s="308"/>
      <c r="Y15" s="308"/>
      <c r="Z15" s="308"/>
      <c r="AA15" s="308"/>
      <c r="AB15" s="308"/>
      <c r="AC15" s="308"/>
      <c r="AD15" s="308"/>
      <c r="AE15" s="308"/>
      <c r="AF15" s="308"/>
      <c r="AG15" s="308"/>
      <c r="AH15" s="308"/>
      <c r="AI15" s="308"/>
      <c r="AJ15" s="308"/>
    </row>
    <row r="16" spans="1:36" s="13" customFormat="1" ht="24.75" customHeight="1" x14ac:dyDescent="0.25">
      <c r="A16" s="701"/>
      <c r="B16" s="703" t="s">
        <v>492</v>
      </c>
      <c r="C16" s="705" t="s">
        <v>351</v>
      </c>
      <c r="D16" s="722" t="s">
        <v>181</v>
      </c>
      <c r="E16" s="722" t="s">
        <v>181</v>
      </c>
      <c r="F16" s="291" t="s">
        <v>483</v>
      </c>
      <c r="G16" s="328">
        <v>0.2</v>
      </c>
      <c r="H16" s="328">
        <v>0.1</v>
      </c>
      <c r="I16" s="328">
        <v>0.1</v>
      </c>
      <c r="J16" s="328">
        <v>0.3</v>
      </c>
      <c r="K16" s="328">
        <v>0.3</v>
      </c>
      <c r="L16" s="314"/>
      <c r="M16" s="314"/>
      <c r="N16" s="314"/>
      <c r="O16" s="313"/>
      <c r="P16" s="313"/>
      <c r="Q16" s="313"/>
      <c r="R16" s="313"/>
      <c r="S16" s="291">
        <f t="shared" ref="S16:S23" si="0">SUM(G16:R16)</f>
        <v>1</v>
      </c>
      <c r="T16" s="709">
        <v>0.03</v>
      </c>
      <c r="U16" s="724">
        <v>0.06</v>
      </c>
      <c r="V16" s="726" t="s">
        <v>493</v>
      </c>
      <c r="W16" s="308"/>
      <c r="X16" s="308"/>
      <c r="Y16" s="308"/>
      <c r="Z16" s="308"/>
      <c r="AA16" s="308"/>
      <c r="AB16" s="308"/>
      <c r="AC16" s="308"/>
      <c r="AD16" s="308"/>
      <c r="AE16" s="308"/>
      <c r="AF16" s="308"/>
      <c r="AG16" s="308"/>
      <c r="AH16" s="308"/>
      <c r="AI16" s="308"/>
      <c r="AJ16" s="308"/>
    </row>
    <row r="17" spans="1:57" s="13" customFormat="1" ht="24.75" customHeight="1" thickBot="1" x14ac:dyDescent="0.3">
      <c r="A17" s="701"/>
      <c r="B17" s="703"/>
      <c r="C17" s="715"/>
      <c r="D17" s="716"/>
      <c r="E17" s="716"/>
      <c r="F17" s="287" t="s">
        <v>485</v>
      </c>
      <c r="G17" s="314">
        <v>0.2</v>
      </c>
      <c r="H17" s="314">
        <v>0.03</v>
      </c>
      <c r="I17" s="314">
        <v>0.05</v>
      </c>
      <c r="J17" s="312">
        <v>0.35</v>
      </c>
      <c r="K17" s="312">
        <v>0.37</v>
      </c>
      <c r="L17" s="312"/>
      <c r="M17" s="312"/>
      <c r="N17" s="312"/>
      <c r="O17" s="311"/>
      <c r="P17" s="311"/>
      <c r="Q17" s="311"/>
      <c r="R17" s="311"/>
      <c r="S17" s="287">
        <f t="shared" si="0"/>
        <v>1</v>
      </c>
      <c r="T17" s="723"/>
      <c r="U17" s="724"/>
      <c r="V17" s="727"/>
      <c r="W17" s="308"/>
      <c r="X17" s="308"/>
      <c r="Y17" s="308"/>
      <c r="Z17" s="308"/>
      <c r="AA17" s="308"/>
      <c r="AB17" s="308"/>
      <c r="AC17" s="308"/>
      <c r="AD17" s="308"/>
      <c r="AE17" s="308"/>
      <c r="AF17" s="308"/>
      <c r="AG17" s="308"/>
      <c r="AH17" s="308"/>
      <c r="AI17" s="308"/>
      <c r="AJ17" s="308"/>
    </row>
    <row r="18" spans="1:57" s="13" customFormat="1" ht="31.5" customHeight="1" x14ac:dyDescent="0.25">
      <c r="A18" s="701"/>
      <c r="B18" s="703"/>
      <c r="C18" s="715" t="s">
        <v>352</v>
      </c>
      <c r="D18" s="716" t="s">
        <v>181</v>
      </c>
      <c r="E18" s="716"/>
      <c r="F18" s="284" t="s">
        <v>483</v>
      </c>
      <c r="G18" s="328">
        <v>0.2</v>
      </c>
      <c r="H18" s="328">
        <v>0.1</v>
      </c>
      <c r="I18" s="328">
        <v>0.1</v>
      </c>
      <c r="J18" s="328">
        <v>0.3</v>
      </c>
      <c r="K18" s="328">
        <v>0.3</v>
      </c>
      <c r="L18" s="312"/>
      <c r="M18" s="312"/>
      <c r="N18" s="312"/>
      <c r="O18" s="311"/>
      <c r="P18" s="311"/>
      <c r="Q18" s="311"/>
      <c r="R18" s="311"/>
      <c r="S18" s="284">
        <f t="shared" si="0"/>
        <v>1</v>
      </c>
      <c r="T18" s="728">
        <v>0.03</v>
      </c>
      <c r="U18" s="724"/>
      <c r="V18" s="726" t="s">
        <v>494</v>
      </c>
      <c r="W18" s="308"/>
      <c r="X18" s="308"/>
      <c r="Y18" s="308"/>
      <c r="Z18" s="308"/>
      <c r="AA18" s="308"/>
      <c r="AB18" s="308"/>
      <c r="AC18" s="308"/>
      <c r="AD18" s="308"/>
      <c r="AE18" s="308"/>
      <c r="AF18" s="308"/>
      <c r="AG18" s="308"/>
      <c r="AH18" s="308"/>
      <c r="AI18" s="308"/>
      <c r="AJ18" s="308"/>
    </row>
    <row r="19" spans="1:57" s="13" customFormat="1" ht="31.5" customHeight="1" thickBot="1" x14ac:dyDescent="0.3">
      <c r="A19" s="701"/>
      <c r="B19" s="721"/>
      <c r="C19" s="715"/>
      <c r="D19" s="716"/>
      <c r="E19" s="716"/>
      <c r="F19" s="287" t="s">
        <v>485</v>
      </c>
      <c r="G19" s="314">
        <v>0.2</v>
      </c>
      <c r="H19" s="314">
        <v>0.05</v>
      </c>
      <c r="I19" s="314">
        <v>0.02</v>
      </c>
      <c r="J19" s="312">
        <v>0.35</v>
      </c>
      <c r="K19" s="312">
        <v>0.38</v>
      </c>
      <c r="L19" s="312"/>
      <c r="M19" s="312"/>
      <c r="N19" s="312"/>
      <c r="O19" s="311"/>
      <c r="P19" s="311"/>
      <c r="Q19" s="311"/>
      <c r="R19" s="311"/>
      <c r="S19" s="287">
        <f>G19+H19+I19+J19+K19+L19</f>
        <v>1</v>
      </c>
      <c r="T19" s="723"/>
      <c r="U19" s="725"/>
      <c r="V19" s="727"/>
      <c r="W19" s="308"/>
      <c r="X19" s="308"/>
      <c r="Y19" s="308"/>
      <c r="Z19" s="308"/>
      <c r="AA19" s="308"/>
      <c r="AB19" s="308"/>
      <c r="AC19" s="308"/>
      <c r="AD19" s="308"/>
      <c r="AE19" s="308"/>
      <c r="AF19" s="308"/>
      <c r="AG19" s="308"/>
      <c r="AH19" s="308"/>
      <c r="AI19" s="308"/>
      <c r="AJ19" s="308"/>
    </row>
    <row r="20" spans="1:57" s="13" customFormat="1" ht="27.75" customHeight="1" x14ac:dyDescent="0.25">
      <c r="A20" s="701"/>
      <c r="B20" s="729" t="s">
        <v>183</v>
      </c>
      <c r="C20" s="715" t="s">
        <v>495</v>
      </c>
      <c r="D20" s="716" t="s">
        <v>181</v>
      </c>
      <c r="E20" s="716" t="s">
        <v>181</v>
      </c>
      <c r="F20" s="284" t="s">
        <v>483</v>
      </c>
      <c r="G20" s="328">
        <v>0.2</v>
      </c>
      <c r="H20" s="328">
        <v>0.1</v>
      </c>
      <c r="I20" s="328">
        <v>0.05</v>
      </c>
      <c r="J20" s="328">
        <v>0.3</v>
      </c>
      <c r="K20" s="328">
        <v>0.35</v>
      </c>
      <c r="L20" s="312"/>
      <c r="M20" s="312"/>
      <c r="N20" s="312"/>
      <c r="O20" s="311"/>
      <c r="P20" s="311"/>
      <c r="Q20" s="311"/>
      <c r="R20" s="311"/>
      <c r="S20" s="284">
        <f t="shared" si="0"/>
        <v>1</v>
      </c>
      <c r="T20" s="728">
        <v>0.1</v>
      </c>
      <c r="U20" s="730">
        <v>0.1</v>
      </c>
      <c r="V20" s="714" t="s">
        <v>496</v>
      </c>
      <c r="W20" s="308"/>
      <c r="X20" s="308"/>
      <c r="Y20" s="308"/>
      <c r="Z20" s="308"/>
      <c r="AA20" s="308"/>
      <c r="AB20" s="308"/>
      <c r="AC20" s="308"/>
      <c r="AD20" s="308"/>
      <c r="AE20" s="308"/>
      <c r="AF20" s="308"/>
      <c r="AG20" s="308"/>
      <c r="AH20" s="308"/>
      <c r="AI20" s="308"/>
      <c r="AJ20" s="308"/>
    </row>
    <row r="21" spans="1:57" s="13" customFormat="1" ht="27.75" customHeight="1" thickBot="1" x14ac:dyDescent="0.3">
      <c r="A21" s="701"/>
      <c r="B21" s="721"/>
      <c r="C21" s="715"/>
      <c r="D21" s="716"/>
      <c r="E21" s="716"/>
      <c r="F21" s="287" t="s">
        <v>485</v>
      </c>
      <c r="G21" s="312">
        <v>0.2</v>
      </c>
      <c r="H21" s="312">
        <v>0.05</v>
      </c>
      <c r="I21" s="312">
        <v>0.05</v>
      </c>
      <c r="J21" s="312">
        <v>0.3</v>
      </c>
      <c r="K21" s="312">
        <v>0.35</v>
      </c>
      <c r="L21" s="312"/>
      <c r="M21" s="312"/>
      <c r="N21" s="312"/>
      <c r="O21" s="311"/>
      <c r="P21" s="311"/>
      <c r="Q21" s="311"/>
      <c r="R21" s="311"/>
      <c r="S21" s="287">
        <f t="shared" si="0"/>
        <v>0.95</v>
      </c>
      <c r="T21" s="723"/>
      <c r="U21" s="730"/>
      <c r="V21" s="731"/>
      <c r="W21" s="308"/>
      <c r="X21" s="308"/>
      <c r="Y21" s="308"/>
      <c r="Z21" s="308"/>
      <c r="AA21" s="308"/>
      <c r="AB21" s="308"/>
      <c r="AC21" s="308"/>
      <c r="AD21" s="308"/>
      <c r="AE21" s="308"/>
      <c r="AF21" s="308"/>
      <c r="AG21" s="308"/>
      <c r="AH21" s="308"/>
      <c r="AI21" s="308"/>
      <c r="AJ21" s="308"/>
    </row>
    <row r="22" spans="1:57" s="292" customFormat="1" ht="45" customHeight="1" x14ac:dyDescent="0.25">
      <c r="A22" s="701"/>
      <c r="B22" s="729" t="s">
        <v>353</v>
      </c>
      <c r="C22" s="715" t="s">
        <v>497</v>
      </c>
      <c r="D22" s="740"/>
      <c r="E22" s="740" t="s">
        <v>181</v>
      </c>
      <c r="F22" s="284" t="s">
        <v>483</v>
      </c>
      <c r="G22" s="314"/>
      <c r="H22" s="314"/>
      <c r="I22" s="328">
        <v>0.33</v>
      </c>
      <c r="J22" s="328">
        <v>0.33</v>
      </c>
      <c r="K22" s="328">
        <v>0.34</v>
      </c>
      <c r="L22" s="312"/>
      <c r="M22" s="312"/>
      <c r="N22" s="312"/>
      <c r="O22" s="311"/>
      <c r="P22" s="311"/>
      <c r="Q22" s="311"/>
      <c r="R22" s="311"/>
      <c r="S22" s="284">
        <f t="shared" si="0"/>
        <v>1</v>
      </c>
      <c r="T22" s="728">
        <v>0.01</v>
      </c>
      <c r="U22" s="742">
        <v>0.01</v>
      </c>
      <c r="V22" s="714" t="s">
        <v>498</v>
      </c>
      <c r="W22" s="315"/>
      <c r="X22" s="315"/>
      <c r="Y22" s="315"/>
      <c r="Z22" s="315"/>
      <c r="AA22" s="315"/>
      <c r="AB22" s="315"/>
      <c r="AC22" s="315"/>
      <c r="AD22" s="315"/>
      <c r="AE22" s="315"/>
      <c r="AF22" s="315"/>
      <c r="AG22" s="315"/>
      <c r="AH22" s="315"/>
      <c r="AI22" s="315"/>
      <c r="AJ22" s="315"/>
    </row>
    <row r="23" spans="1:57" s="292" customFormat="1" ht="45" customHeight="1" thickBot="1" x14ac:dyDescent="0.3">
      <c r="A23" s="701"/>
      <c r="B23" s="703"/>
      <c r="C23" s="739"/>
      <c r="D23" s="741"/>
      <c r="E23" s="741"/>
      <c r="F23" s="285" t="s">
        <v>485</v>
      </c>
      <c r="G23" s="309"/>
      <c r="H23" s="309"/>
      <c r="I23" s="309">
        <v>0.33</v>
      </c>
      <c r="J23" s="309">
        <v>0.33</v>
      </c>
      <c r="K23" s="309">
        <v>0.34</v>
      </c>
      <c r="L23" s="309"/>
      <c r="M23" s="309"/>
      <c r="N23" s="309"/>
      <c r="O23" s="310"/>
      <c r="P23" s="310"/>
      <c r="Q23" s="310"/>
      <c r="R23" s="310"/>
      <c r="S23" s="285">
        <f t="shared" si="0"/>
        <v>1</v>
      </c>
      <c r="T23" s="709"/>
      <c r="U23" s="743"/>
      <c r="V23" s="732"/>
      <c r="W23" s="315"/>
      <c r="X23" s="315"/>
      <c r="Y23" s="315"/>
      <c r="Z23" s="315"/>
      <c r="AA23" s="315"/>
      <c r="AB23" s="315"/>
      <c r="AC23" s="315"/>
      <c r="AD23" s="315"/>
      <c r="AE23" s="315"/>
      <c r="AF23" s="315"/>
      <c r="AG23" s="315"/>
      <c r="AH23" s="315"/>
      <c r="AI23" s="315"/>
      <c r="AJ23" s="315"/>
    </row>
    <row r="24" spans="1:57" s="10" customFormat="1" ht="46.5" customHeight="1" x14ac:dyDescent="0.25">
      <c r="A24" s="733" t="s">
        <v>184</v>
      </c>
      <c r="B24" s="734" t="s">
        <v>185</v>
      </c>
      <c r="C24" s="736" t="s">
        <v>499</v>
      </c>
      <c r="D24" s="706" t="s">
        <v>181</v>
      </c>
      <c r="E24" s="706" t="s">
        <v>181</v>
      </c>
      <c r="F24" s="284" t="s">
        <v>483</v>
      </c>
      <c r="G24" s="325">
        <v>0.2</v>
      </c>
      <c r="H24" s="325">
        <v>0.1</v>
      </c>
      <c r="I24" s="325">
        <v>0.05</v>
      </c>
      <c r="J24" s="325">
        <v>0.3</v>
      </c>
      <c r="K24" s="325">
        <v>0.35</v>
      </c>
      <c r="L24" s="326"/>
      <c r="M24" s="326"/>
      <c r="N24" s="326"/>
      <c r="O24" s="307"/>
      <c r="P24" s="307"/>
      <c r="Q24" s="307"/>
      <c r="R24" s="307"/>
      <c r="S24" s="284">
        <f>SUM(G24:R24)</f>
        <v>1</v>
      </c>
      <c r="T24" s="737">
        <v>0.03</v>
      </c>
      <c r="U24" s="710">
        <v>1.4999999999999999E-2</v>
      </c>
      <c r="V24" s="738" t="s">
        <v>500</v>
      </c>
      <c r="W24" s="308"/>
      <c r="X24" s="306"/>
      <c r="Y24" s="306"/>
      <c r="Z24" s="306"/>
      <c r="AA24" s="306"/>
      <c r="AB24" s="306"/>
      <c r="AC24" s="306"/>
      <c r="AD24" s="306"/>
      <c r="AE24" s="306"/>
      <c r="AF24" s="306"/>
      <c r="AG24" s="306"/>
      <c r="AH24" s="306"/>
      <c r="AI24" s="306"/>
      <c r="AJ24" s="306"/>
      <c r="AK24" s="12"/>
      <c r="AL24" s="12"/>
      <c r="AM24" s="12"/>
      <c r="AN24" s="12"/>
      <c r="AO24" s="12"/>
      <c r="AP24" s="12"/>
      <c r="AQ24" s="12"/>
      <c r="AR24" s="12"/>
      <c r="AS24" s="12"/>
      <c r="AT24" s="12"/>
      <c r="AU24" s="12"/>
      <c r="AV24" s="12"/>
      <c r="AW24" s="12"/>
      <c r="AX24" s="12"/>
      <c r="AY24" s="12"/>
      <c r="AZ24" s="12"/>
      <c r="BA24" s="12"/>
      <c r="BB24" s="12"/>
      <c r="BC24" s="12"/>
      <c r="BD24" s="12"/>
      <c r="BE24" s="12"/>
    </row>
    <row r="25" spans="1:57" s="10" customFormat="1" ht="61.5" customHeight="1" x14ac:dyDescent="0.25">
      <c r="A25" s="720"/>
      <c r="B25" s="735"/>
      <c r="C25" s="715"/>
      <c r="D25" s="716"/>
      <c r="E25" s="716"/>
      <c r="F25" s="287" t="s">
        <v>485</v>
      </c>
      <c r="G25" s="312">
        <v>0.2</v>
      </c>
      <c r="H25" s="312">
        <v>0.08</v>
      </c>
      <c r="I25" s="312">
        <v>0.05</v>
      </c>
      <c r="J25" s="312">
        <v>0.3</v>
      </c>
      <c r="K25" s="312">
        <v>0.37</v>
      </c>
      <c r="L25" s="312"/>
      <c r="M25" s="312"/>
      <c r="N25" s="312"/>
      <c r="O25" s="311"/>
      <c r="P25" s="311"/>
      <c r="Q25" s="311"/>
      <c r="R25" s="311"/>
      <c r="S25" s="287">
        <f>SUM(G25:R25)</f>
        <v>1</v>
      </c>
      <c r="T25" s="717"/>
      <c r="U25" s="730"/>
      <c r="V25" s="719"/>
      <c r="W25" s="308"/>
      <c r="X25" s="306"/>
      <c r="Y25" s="306"/>
      <c r="Z25" s="306"/>
      <c r="AA25" s="306"/>
      <c r="AB25" s="306"/>
      <c r="AC25" s="306"/>
      <c r="AD25" s="306"/>
      <c r="AE25" s="306"/>
      <c r="AF25" s="306"/>
      <c r="AG25" s="306"/>
      <c r="AH25" s="306"/>
      <c r="AI25" s="306"/>
      <c r="AJ25" s="306"/>
      <c r="AK25" s="12"/>
      <c r="AL25" s="12"/>
      <c r="AM25" s="12"/>
      <c r="AN25" s="12"/>
      <c r="AO25" s="12"/>
      <c r="AP25" s="12"/>
      <c r="AQ25" s="12"/>
      <c r="AR25" s="12"/>
      <c r="AS25" s="12"/>
      <c r="AT25" s="12"/>
      <c r="AU25" s="12"/>
      <c r="AV25" s="12"/>
      <c r="AW25" s="12"/>
      <c r="AX25" s="12"/>
      <c r="AY25" s="12"/>
      <c r="AZ25" s="12"/>
      <c r="BA25" s="12"/>
      <c r="BB25" s="12"/>
      <c r="BC25" s="12"/>
      <c r="BD25" s="12"/>
      <c r="BE25" s="12"/>
    </row>
    <row r="26" spans="1:57" s="10" customFormat="1" ht="36" customHeight="1" x14ac:dyDescent="0.25">
      <c r="A26" s="720"/>
      <c r="B26" s="735"/>
      <c r="C26" s="715" t="s">
        <v>501</v>
      </c>
      <c r="D26" s="716" t="s">
        <v>181</v>
      </c>
      <c r="E26" s="716" t="s">
        <v>181</v>
      </c>
      <c r="F26" s="286" t="s">
        <v>483</v>
      </c>
      <c r="G26" s="327">
        <v>0.2</v>
      </c>
      <c r="H26" s="327">
        <v>0.1</v>
      </c>
      <c r="I26" s="327">
        <v>0.05</v>
      </c>
      <c r="J26" s="327">
        <v>0.3</v>
      </c>
      <c r="K26" s="327">
        <v>0.37</v>
      </c>
      <c r="L26" s="312"/>
      <c r="M26" s="312"/>
      <c r="N26" s="312"/>
      <c r="O26" s="311"/>
      <c r="P26" s="311"/>
      <c r="Q26" s="311"/>
      <c r="R26" s="311"/>
      <c r="S26" s="286">
        <f>SUM(G28:R28)</f>
        <v>1</v>
      </c>
      <c r="T26" s="717"/>
      <c r="U26" s="730">
        <v>1.4999999999999999E-2</v>
      </c>
      <c r="V26" s="714" t="s">
        <v>502</v>
      </c>
      <c r="W26" s="308"/>
      <c r="X26" s="306"/>
      <c r="Y26" s="306"/>
      <c r="Z26" s="306"/>
      <c r="AA26" s="306"/>
      <c r="AB26" s="306"/>
      <c r="AC26" s="306"/>
      <c r="AD26" s="306"/>
      <c r="AE26" s="306"/>
      <c r="AF26" s="306"/>
      <c r="AG26" s="306"/>
      <c r="AH26" s="306"/>
      <c r="AI26" s="306"/>
      <c r="AJ26" s="306"/>
      <c r="AK26" s="12"/>
      <c r="AL26" s="12"/>
      <c r="AM26" s="12"/>
      <c r="AN26" s="12"/>
      <c r="AO26" s="12"/>
      <c r="AP26" s="12"/>
      <c r="AQ26" s="12"/>
      <c r="AR26" s="12"/>
      <c r="AS26" s="12"/>
      <c r="AT26" s="12"/>
      <c r="AU26" s="12"/>
      <c r="AV26" s="12"/>
      <c r="AW26" s="12"/>
      <c r="AX26" s="12"/>
      <c r="AY26" s="12"/>
      <c r="AZ26" s="12"/>
      <c r="BA26" s="12"/>
      <c r="BB26" s="12"/>
      <c r="BC26" s="12"/>
      <c r="BD26" s="12"/>
      <c r="BE26" s="12"/>
    </row>
    <row r="27" spans="1:57" s="10" customFormat="1" ht="42" customHeight="1" x14ac:dyDescent="0.25">
      <c r="A27" s="720"/>
      <c r="B27" s="735"/>
      <c r="C27" s="715"/>
      <c r="D27" s="716"/>
      <c r="E27" s="716"/>
      <c r="F27" s="287" t="s">
        <v>485</v>
      </c>
      <c r="G27" s="289">
        <v>0.2</v>
      </c>
      <c r="H27" s="312">
        <v>0.05</v>
      </c>
      <c r="I27" s="312">
        <v>0.05</v>
      </c>
      <c r="J27" s="312">
        <v>0.3</v>
      </c>
      <c r="K27" s="312">
        <v>0.4</v>
      </c>
      <c r="L27" s="312"/>
      <c r="M27" s="312"/>
      <c r="N27" s="312"/>
      <c r="O27" s="311"/>
      <c r="P27" s="311"/>
      <c r="Q27" s="311"/>
      <c r="R27" s="311"/>
      <c r="S27" s="287">
        <f>SUM(G27:R27)</f>
        <v>1</v>
      </c>
      <c r="T27" s="717"/>
      <c r="U27" s="730"/>
      <c r="V27" s="731"/>
      <c r="W27" s="308"/>
      <c r="X27" s="306"/>
      <c r="Y27" s="306"/>
      <c r="Z27" s="306"/>
      <c r="AA27" s="306"/>
      <c r="AB27" s="306"/>
      <c r="AC27" s="306"/>
      <c r="AD27" s="306"/>
      <c r="AE27" s="306"/>
      <c r="AF27" s="306"/>
      <c r="AG27" s="306"/>
      <c r="AH27" s="306"/>
      <c r="AI27" s="306"/>
      <c r="AJ27" s="306"/>
      <c r="AK27" s="12"/>
      <c r="AL27" s="12"/>
      <c r="AM27" s="12"/>
      <c r="AN27" s="12"/>
      <c r="AO27" s="12"/>
      <c r="AP27" s="12"/>
      <c r="AQ27" s="12"/>
      <c r="AR27" s="12"/>
      <c r="AS27" s="12"/>
      <c r="AT27" s="12"/>
      <c r="AU27" s="12"/>
      <c r="AV27" s="12"/>
      <c r="AW27" s="12"/>
      <c r="AX27" s="12"/>
      <c r="AY27" s="12"/>
      <c r="AZ27" s="12"/>
      <c r="BA27" s="12"/>
      <c r="BB27" s="12"/>
      <c r="BC27" s="12"/>
      <c r="BD27" s="12"/>
      <c r="BE27" s="12"/>
    </row>
    <row r="28" spans="1:57" s="10" customFormat="1" ht="33.75" customHeight="1" x14ac:dyDescent="0.25">
      <c r="A28" s="720"/>
      <c r="B28" s="735" t="s">
        <v>503</v>
      </c>
      <c r="C28" s="715" t="s">
        <v>504</v>
      </c>
      <c r="D28" s="716" t="s">
        <v>181</v>
      </c>
      <c r="E28" s="716" t="s">
        <v>181</v>
      </c>
      <c r="F28" s="286" t="s">
        <v>483</v>
      </c>
      <c r="G28" s="327">
        <v>0.2</v>
      </c>
      <c r="H28" s="327">
        <v>0.1</v>
      </c>
      <c r="I28" s="327">
        <v>0.05</v>
      </c>
      <c r="J28" s="327">
        <v>0.3</v>
      </c>
      <c r="K28" s="327">
        <v>0.35</v>
      </c>
      <c r="L28" s="312"/>
      <c r="M28" s="312"/>
      <c r="N28" s="312"/>
      <c r="O28" s="311"/>
      <c r="P28" s="311"/>
      <c r="Q28" s="311"/>
      <c r="R28" s="311"/>
      <c r="S28" s="286">
        <f>SUM(G30:R30)</f>
        <v>1</v>
      </c>
      <c r="T28" s="717">
        <v>7.0000000000000007E-2</v>
      </c>
      <c r="U28" s="730">
        <v>7.0000000000000007E-2</v>
      </c>
      <c r="V28" s="744" t="s">
        <v>442</v>
      </c>
      <c r="W28" s="308"/>
      <c r="X28" s="306"/>
      <c r="Y28" s="306"/>
      <c r="Z28" s="306"/>
      <c r="AA28" s="306"/>
      <c r="AB28" s="306"/>
      <c r="AC28" s="306"/>
      <c r="AD28" s="306"/>
      <c r="AE28" s="306"/>
      <c r="AF28" s="306"/>
      <c r="AG28" s="306"/>
      <c r="AH28" s="306"/>
      <c r="AI28" s="306"/>
      <c r="AJ28" s="306"/>
      <c r="AK28" s="12"/>
      <c r="AL28" s="12"/>
      <c r="AM28" s="12"/>
      <c r="AN28" s="12"/>
      <c r="AO28" s="12"/>
      <c r="AP28" s="12"/>
      <c r="AQ28" s="12"/>
      <c r="AR28" s="12"/>
      <c r="AS28" s="12"/>
      <c r="AT28" s="12"/>
      <c r="AU28" s="12"/>
      <c r="AV28" s="12"/>
      <c r="AW28" s="12"/>
      <c r="AX28" s="12"/>
      <c r="AY28" s="12"/>
      <c r="AZ28" s="12"/>
      <c r="BA28" s="12"/>
      <c r="BB28" s="12"/>
      <c r="BC28" s="12"/>
      <c r="BD28" s="12"/>
      <c r="BE28" s="12"/>
    </row>
    <row r="29" spans="1:57" s="10" customFormat="1" ht="33.75" customHeight="1" x14ac:dyDescent="0.25">
      <c r="A29" s="720"/>
      <c r="B29" s="735"/>
      <c r="C29" s="715"/>
      <c r="D29" s="716"/>
      <c r="E29" s="716"/>
      <c r="F29" s="287" t="s">
        <v>485</v>
      </c>
      <c r="G29" s="289">
        <v>0.2</v>
      </c>
      <c r="H29" s="312">
        <v>0.1</v>
      </c>
      <c r="I29" s="312">
        <v>0.05</v>
      </c>
      <c r="J29" s="312">
        <v>0.35</v>
      </c>
      <c r="K29" s="312">
        <v>0.35</v>
      </c>
      <c r="L29" s="312"/>
      <c r="M29" s="312"/>
      <c r="N29" s="312"/>
      <c r="O29" s="311"/>
      <c r="P29" s="311"/>
      <c r="Q29" s="311"/>
      <c r="R29" s="311"/>
      <c r="S29" s="287">
        <f t="shared" ref="S29:S47" si="1">SUM(G29:R29)</f>
        <v>1.0499999999999998</v>
      </c>
      <c r="T29" s="717"/>
      <c r="U29" s="730"/>
      <c r="V29" s="744"/>
      <c r="W29" s="308"/>
      <c r="X29" s="306"/>
      <c r="Y29" s="306"/>
      <c r="Z29" s="306"/>
      <c r="AA29" s="306"/>
      <c r="AB29" s="306"/>
      <c r="AC29" s="306"/>
      <c r="AD29" s="306"/>
      <c r="AE29" s="306"/>
      <c r="AF29" s="306"/>
      <c r="AG29" s="306"/>
      <c r="AH29" s="306"/>
      <c r="AI29" s="306"/>
      <c r="AJ29" s="306"/>
      <c r="AK29" s="12"/>
      <c r="AL29" s="12"/>
      <c r="AM29" s="12"/>
      <c r="AN29" s="12"/>
      <c r="AO29" s="12"/>
      <c r="AP29" s="12"/>
      <c r="AQ29" s="12"/>
      <c r="AR29" s="12"/>
      <c r="AS29" s="12"/>
      <c r="AT29" s="12"/>
      <c r="AU29" s="12"/>
      <c r="AV29" s="12"/>
      <c r="AW29" s="12"/>
      <c r="AX29" s="12"/>
      <c r="AY29" s="12"/>
      <c r="AZ29" s="12"/>
      <c r="BA29" s="12"/>
      <c r="BB29" s="12"/>
      <c r="BC29" s="12"/>
      <c r="BD29" s="12"/>
      <c r="BE29" s="12"/>
    </row>
    <row r="30" spans="1:57" s="10" customFormat="1" ht="34.5" customHeight="1" x14ac:dyDescent="0.25">
      <c r="A30" s="720"/>
      <c r="B30" s="735" t="s">
        <v>186</v>
      </c>
      <c r="C30" s="715" t="s">
        <v>505</v>
      </c>
      <c r="D30" s="716" t="s">
        <v>181</v>
      </c>
      <c r="E30" s="716" t="s">
        <v>181</v>
      </c>
      <c r="F30" s="286" t="s">
        <v>483</v>
      </c>
      <c r="G30" s="327">
        <v>0.2</v>
      </c>
      <c r="H30" s="327">
        <v>0.1</v>
      </c>
      <c r="I30" s="327">
        <v>0.05</v>
      </c>
      <c r="J30" s="327">
        <v>0.3</v>
      </c>
      <c r="K30" s="327">
        <v>0.35</v>
      </c>
      <c r="L30" s="312"/>
      <c r="M30" s="312"/>
      <c r="N30" s="312"/>
      <c r="O30" s="311"/>
      <c r="P30" s="311"/>
      <c r="Q30" s="311"/>
      <c r="R30" s="311"/>
      <c r="S30" s="286">
        <f t="shared" si="1"/>
        <v>1</v>
      </c>
      <c r="T30" s="717">
        <v>7.0000000000000007E-2</v>
      </c>
      <c r="U30" s="730">
        <v>0.05</v>
      </c>
      <c r="V30" s="718" t="s">
        <v>506</v>
      </c>
      <c r="W30" s="308"/>
      <c r="X30" s="306"/>
      <c r="Y30" s="306"/>
      <c r="Z30" s="306"/>
      <c r="AA30" s="306"/>
      <c r="AB30" s="306"/>
      <c r="AC30" s="306"/>
      <c r="AD30" s="306"/>
      <c r="AE30" s="306"/>
      <c r="AF30" s="306"/>
      <c r="AG30" s="306"/>
      <c r="AH30" s="306"/>
      <c r="AI30" s="306"/>
      <c r="AJ30" s="306"/>
      <c r="AK30" s="12"/>
      <c r="AL30" s="12"/>
      <c r="AM30" s="12"/>
      <c r="AN30" s="12"/>
      <c r="AO30" s="12"/>
      <c r="AP30" s="12"/>
      <c r="AQ30" s="12"/>
      <c r="AR30" s="12"/>
      <c r="AS30" s="12"/>
      <c r="AT30" s="12"/>
      <c r="AU30" s="12"/>
      <c r="AV30" s="12"/>
      <c r="AW30" s="12"/>
      <c r="AX30" s="12"/>
      <c r="AY30" s="12"/>
      <c r="AZ30" s="12"/>
      <c r="BA30" s="12"/>
      <c r="BB30" s="12"/>
      <c r="BC30" s="12"/>
      <c r="BD30" s="12"/>
      <c r="BE30" s="12"/>
    </row>
    <row r="31" spans="1:57" s="10" customFormat="1" ht="34.5" customHeight="1" x14ac:dyDescent="0.25">
      <c r="A31" s="720"/>
      <c r="B31" s="735"/>
      <c r="C31" s="715"/>
      <c r="D31" s="716"/>
      <c r="E31" s="716"/>
      <c r="F31" s="287" t="s">
        <v>485</v>
      </c>
      <c r="G31" s="289">
        <v>0.2</v>
      </c>
      <c r="H31" s="312">
        <v>0.1</v>
      </c>
      <c r="I31" s="312">
        <v>0.05</v>
      </c>
      <c r="J31" s="312">
        <v>0.3</v>
      </c>
      <c r="K31" s="312">
        <v>0.35</v>
      </c>
      <c r="L31" s="312"/>
      <c r="M31" s="312"/>
      <c r="N31" s="312"/>
      <c r="O31" s="311"/>
      <c r="P31" s="311"/>
      <c r="Q31" s="311"/>
      <c r="R31" s="311"/>
      <c r="S31" s="287">
        <f t="shared" si="1"/>
        <v>1</v>
      </c>
      <c r="T31" s="717"/>
      <c r="U31" s="730"/>
      <c r="V31" s="719"/>
      <c r="W31" s="308"/>
      <c r="X31" s="306"/>
      <c r="Y31" s="306"/>
      <c r="Z31" s="306"/>
      <c r="AA31" s="306"/>
      <c r="AB31" s="306"/>
      <c r="AC31" s="306"/>
      <c r="AD31" s="306"/>
      <c r="AE31" s="306"/>
      <c r="AF31" s="306"/>
      <c r="AG31" s="306"/>
      <c r="AH31" s="306"/>
      <c r="AI31" s="306"/>
      <c r="AJ31" s="306"/>
      <c r="AK31" s="12"/>
      <c r="AL31" s="12"/>
      <c r="AM31" s="12"/>
      <c r="AN31" s="12"/>
      <c r="AO31" s="12"/>
      <c r="AP31" s="12"/>
      <c r="AQ31" s="12"/>
      <c r="AR31" s="12"/>
      <c r="AS31" s="12"/>
      <c r="AT31" s="12"/>
      <c r="AU31" s="12"/>
      <c r="AV31" s="12"/>
      <c r="AW31" s="12"/>
      <c r="AX31" s="12"/>
      <c r="AY31" s="12"/>
      <c r="AZ31" s="12"/>
      <c r="BA31" s="12"/>
      <c r="BB31" s="12"/>
      <c r="BC31" s="12"/>
      <c r="BD31" s="12"/>
      <c r="BE31" s="12"/>
    </row>
    <row r="32" spans="1:57" s="10" customFormat="1" ht="27.75" customHeight="1" x14ac:dyDescent="0.25">
      <c r="A32" s="720"/>
      <c r="B32" s="735"/>
      <c r="C32" s="715" t="s">
        <v>507</v>
      </c>
      <c r="D32" s="716" t="s">
        <v>181</v>
      </c>
      <c r="E32" s="716" t="s">
        <v>181</v>
      </c>
      <c r="F32" s="286" t="s">
        <v>483</v>
      </c>
      <c r="G32" s="327">
        <v>0.2</v>
      </c>
      <c r="H32" s="327">
        <v>0.1</v>
      </c>
      <c r="I32" s="327">
        <v>0.05</v>
      </c>
      <c r="J32" s="327">
        <v>0.3</v>
      </c>
      <c r="K32" s="327">
        <v>0.35</v>
      </c>
      <c r="L32" s="312"/>
      <c r="M32" s="312"/>
      <c r="N32" s="312"/>
      <c r="O32" s="311"/>
      <c r="P32" s="311"/>
      <c r="Q32" s="311"/>
      <c r="R32" s="311"/>
      <c r="S32" s="286">
        <f t="shared" si="1"/>
        <v>1</v>
      </c>
      <c r="T32" s="717"/>
      <c r="U32" s="730">
        <v>0.02</v>
      </c>
      <c r="V32" s="745" t="s">
        <v>508</v>
      </c>
      <c r="W32" s="308"/>
      <c r="X32" s="306"/>
      <c r="Y32" s="306"/>
      <c r="Z32" s="306"/>
      <c r="AA32" s="306"/>
      <c r="AB32" s="306"/>
      <c r="AC32" s="306"/>
      <c r="AD32" s="306"/>
      <c r="AE32" s="306"/>
      <c r="AF32" s="306"/>
      <c r="AG32" s="306"/>
      <c r="AH32" s="306"/>
      <c r="AI32" s="306"/>
      <c r="AJ32" s="306"/>
      <c r="AK32" s="12"/>
      <c r="AL32" s="12"/>
      <c r="AM32" s="12"/>
      <c r="AN32" s="12"/>
      <c r="AO32" s="12"/>
      <c r="AP32" s="12"/>
      <c r="AQ32" s="12"/>
      <c r="AR32" s="12"/>
      <c r="AS32" s="12"/>
      <c r="AT32" s="12"/>
      <c r="AU32" s="12"/>
      <c r="AV32" s="12"/>
      <c r="AW32" s="12"/>
      <c r="AX32" s="12"/>
      <c r="AY32" s="12"/>
      <c r="AZ32" s="12"/>
      <c r="BA32" s="12"/>
      <c r="BB32" s="12"/>
      <c r="BC32" s="12"/>
      <c r="BD32" s="12"/>
      <c r="BE32" s="12"/>
    </row>
    <row r="33" spans="1:57" s="10" customFormat="1" ht="27.75" customHeight="1" x14ac:dyDescent="0.25">
      <c r="A33" s="720"/>
      <c r="B33" s="735"/>
      <c r="C33" s="715"/>
      <c r="D33" s="716"/>
      <c r="E33" s="716"/>
      <c r="F33" s="287" t="s">
        <v>485</v>
      </c>
      <c r="G33" s="327">
        <v>0.2</v>
      </c>
      <c r="H33" s="327">
        <v>0.1</v>
      </c>
      <c r="I33" s="327">
        <v>0.05</v>
      </c>
      <c r="J33" s="312">
        <v>0.3</v>
      </c>
      <c r="K33" s="312">
        <v>0.35</v>
      </c>
      <c r="L33" s="312"/>
      <c r="M33" s="312"/>
      <c r="N33" s="312"/>
      <c r="O33" s="311"/>
      <c r="P33" s="311"/>
      <c r="Q33" s="311"/>
      <c r="R33" s="311"/>
      <c r="S33" s="287">
        <f t="shared" si="1"/>
        <v>1</v>
      </c>
      <c r="T33" s="717"/>
      <c r="U33" s="730"/>
      <c r="V33" s="746"/>
      <c r="W33" s="308"/>
      <c r="X33" s="306"/>
      <c r="Y33" s="306"/>
      <c r="Z33" s="306"/>
      <c r="AA33" s="306"/>
      <c r="AB33" s="306"/>
      <c r="AC33" s="306"/>
      <c r="AD33" s="306"/>
      <c r="AE33" s="306"/>
      <c r="AF33" s="306"/>
      <c r="AG33" s="306"/>
      <c r="AH33" s="306"/>
      <c r="AI33" s="306"/>
      <c r="AJ33" s="306"/>
      <c r="AK33" s="12"/>
      <c r="AL33" s="12"/>
      <c r="AM33" s="12"/>
      <c r="AN33" s="12"/>
      <c r="AO33" s="12"/>
      <c r="AP33" s="12"/>
      <c r="AQ33" s="12"/>
      <c r="AR33" s="12"/>
      <c r="AS33" s="12"/>
      <c r="AT33" s="12"/>
      <c r="AU33" s="12"/>
      <c r="AV33" s="12"/>
      <c r="AW33" s="12"/>
      <c r="AX33" s="12"/>
      <c r="AY33" s="12"/>
      <c r="AZ33" s="12"/>
      <c r="BA33" s="12"/>
      <c r="BB33" s="12"/>
      <c r="BC33" s="12"/>
      <c r="BD33" s="12"/>
      <c r="BE33" s="12"/>
    </row>
    <row r="34" spans="1:57" s="10" customFormat="1" ht="41.25" customHeight="1" x14ac:dyDescent="0.25">
      <c r="A34" s="720"/>
      <c r="B34" s="735" t="s">
        <v>187</v>
      </c>
      <c r="C34" s="715" t="s">
        <v>509</v>
      </c>
      <c r="D34" s="293" t="s">
        <v>181</v>
      </c>
      <c r="E34" s="293" t="s">
        <v>181</v>
      </c>
      <c r="F34" s="286" t="s">
        <v>483</v>
      </c>
      <c r="G34" s="327">
        <v>0.2</v>
      </c>
      <c r="H34" s="327">
        <v>0.1</v>
      </c>
      <c r="I34" s="327">
        <v>0.05</v>
      </c>
      <c r="J34" s="327">
        <v>0.3</v>
      </c>
      <c r="K34" s="327">
        <v>0.35</v>
      </c>
      <c r="L34" s="312"/>
      <c r="M34" s="312"/>
      <c r="N34" s="312"/>
      <c r="O34" s="311"/>
      <c r="P34" s="311"/>
      <c r="Q34" s="311"/>
      <c r="R34" s="311"/>
      <c r="S34" s="286">
        <f t="shared" si="1"/>
        <v>1</v>
      </c>
      <c r="T34" s="717">
        <v>7.0000000000000007E-2</v>
      </c>
      <c r="U34" s="730">
        <v>0.04</v>
      </c>
      <c r="V34" s="749" t="s">
        <v>510</v>
      </c>
      <c r="W34" s="308"/>
      <c r="X34" s="306"/>
      <c r="Y34" s="306"/>
      <c r="Z34" s="306"/>
      <c r="AA34" s="306"/>
      <c r="AB34" s="306"/>
      <c r="AC34" s="306"/>
      <c r="AD34" s="306"/>
      <c r="AE34" s="306"/>
      <c r="AF34" s="306"/>
      <c r="AG34" s="306"/>
      <c r="AH34" s="306"/>
      <c r="AI34" s="306"/>
      <c r="AJ34" s="306"/>
      <c r="AK34" s="12"/>
      <c r="AL34" s="12"/>
      <c r="AM34" s="12"/>
      <c r="AN34" s="12"/>
      <c r="AO34" s="12"/>
      <c r="AP34" s="12"/>
      <c r="AQ34" s="12"/>
      <c r="AR34" s="12"/>
      <c r="AS34" s="12"/>
      <c r="AT34" s="12"/>
      <c r="AU34" s="12"/>
      <c r="AV34" s="12"/>
      <c r="AW34" s="12"/>
      <c r="AX34" s="12"/>
      <c r="AY34" s="12"/>
      <c r="AZ34" s="12"/>
      <c r="BA34" s="12"/>
      <c r="BB34" s="12"/>
      <c r="BC34" s="12"/>
      <c r="BD34" s="12"/>
      <c r="BE34" s="12"/>
    </row>
    <row r="35" spans="1:57" s="10" customFormat="1" ht="41.25" customHeight="1" x14ac:dyDescent="0.25">
      <c r="A35" s="720"/>
      <c r="B35" s="735"/>
      <c r="C35" s="715"/>
      <c r="D35" s="293"/>
      <c r="E35" s="293"/>
      <c r="F35" s="287" t="s">
        <v>485</v>
      </c>
      <c r="G35" s="289">
        <v>0.2</v>
      </c>
      <c r="H35" s="312">
        <v>0.1</v>
      </c>
      <c r="I35" s="312">
        <v>0.05</v>
      </c>
      <c r="J35" s="312">
        <v>0.3</v>
      </c>
      <c r="K35" s="312">
        <v>0.35</v>
      </c>
      <c r="L35" s="312"/>
      <c r="M35" s="312"/>
      <c r="N35" s="312"/>
      <c r="O35" s="311"/>
      <c r="P35" s="311"/>
      <c r="Q35" s="311"/>
      <c r="R35" s="311"/>
      <c r="S35" s="287">
        <f t="shared" si="1"/>
        <v>1</v>
      </c>
      <c r="T35" s="717"/>
      <c r="U35" s="730"/>
      <c r="V35" s="750"/>
      <c r="W35" s="308"/>
      <c r="X35" s="306"/>
      <c r="Y35" s="306"/>
      <c r="Z35" s="306"/>
      <c r="AA35" s="306"/>
      <c r="AB35" s="306"/>
      <c r="AC35" s="306"/>
      <c r="AD35" s="306"/>
      <c r="AE35" s="306"/>
      <c r="AF35" s="306"/>
      <c r="AG35" s="306"/>
      <c r="AH35" s="306"/>
      <c r="AI35" s="306"/>
      <c r="AJ35" s="306"/>
      <c r="AK35" s="12"/>
      <c r="AL35" s="12"/>
      <c r="AM35" s="12"/>
      <c r="AN35" s="12"/>
      <c r="AO35" s="12"/>
      <c r="AP35" s="12"/>
      <c r="AQ35" s="12"/>
      <c r="AR35" s="12"/>
      <c r="AS35" s="12"/>
      <c r="AT35" s="12"/>
      <c r="AU35" s="12"/>
      <c r="AV35" s="12"/>
      <c r="AW35" s="12"/>
      <c r="AX35" s="12"/>
      <c r="AY35" s="12"/>
      <c r="AZ35" s="12"/>
      <c r="BA35" s="12"/>
      <c r="BB35" s="12"/>
      <c r="BC35" s="12"/>
      <c r="BD35" s="12"/>
      <c r="BE35" s="12"/>
    </row>
    <row r="36" spans="1:57" s="10" customFormat="1" ht="40.5" customHeight="1" x14ac:dyDescent="0.25">
      <c r="A36" s="720"/>
      <c r="B36" s="735"/>
      <c r="C36" s="715" t="s">
        <v>511</v>
      </c>
      <c r="D36" s="293" t="s">
        <v>181</v>
      </c>
      <c r="E36" s="293" t="s">
        <v>181</v>
      </c>
      <c r="F36" s="286" t="s">
        <v>483</v>
      </c>
      <c r="G36" s="327">
        <v>0.2</v>
      </c>
      <c r="H36" s="327">
        <v>0.05</v>
      </c>
      <c r="I36" s="327">
        <v>0.05</v>
      </c>
      <c r="J36" s="327">
        <v>0.35</v>
      </c>
      <c r="K36" s="327">
        <v>0.35</v>
      </c>
      <c r="L36" s="312"/>
      <c r="M36" s="312"/>
      <c r="N36" s="312"/>
      <c r="O36" s="311"/>
      <c r="P36" s="311"/>
      <c r="Q36" s="311"/>
      <c r="R36" s="311"/>
      <c r="S36" s="286">
        <f t="shared" si="1"/>
        <v>0.99999999999999989</v>
      </c>
      <c r="T36" s="717"/>
      <c r="U36" s="730">
        <v>0.03</v>
      </c>
      <c r="V36" s="745" t="s">
        <v>512</v>
      </c>
      <c r="W36" s="308"/>
      <c r="X36" s="306"/>
      <c r="Y36" s="306"/>
      <c r="Z36" s="306"/>
      <c r="AA36" s="306"/>
      <c r="AB36" s="306"/>
      <c r="AC36" s="306"/>
      <c r="AD36" s="306"/>
      <c r="AE36" s="306"/>
      <c r="AF36" s="306"/>
      <c r="AG36" s="306"/>
      <c r="AH36" s="306"/>
      <c r="AI36" s="306"/>
      <c r="AJ36" s="306"/>
      <c r="AK36" s="12"/>
      <c r="AL36" s="12"/>
      <c r="AM36" s="12"/>
      <c r="AN36" s="12"/>
      <c r="AO36" s="12"/>
      <c r="AP36" s="12"/>
      <c r="AQ36" s="12"/>
      <c r="AR36" s="12"/>
      <c r="AS36" s="12"/>
      <c r="AT36" s="12"/>
      <c r="AU36" s="12"/>
      <c r="AV36" s="12"/>
      <c r="AW36" s="12"/>
      <c r="AX36" s="12"/>
      <c r="AY36" s="12"/>
      <c r="AZ36" s="12"/>
      <c r="BA36" s="12"/>
      <c r="BB36" s="12"/>
      <c r="BC36" s="12"/>
      <c r="BD36" s="12"/>
      <c r="BE36" s="12"/>
    </row>
    <row r="37" spans="1:57" s="10" customFormat="1" ht="40.5" customHeight="1" x14ac:dyDescent="0.25">
      <c r="A37" s="720"/>
      <c r="B37" s="735"/>
      <c r="C37" s="715"/>
      <c r="D37" s="293"/>
      <c r="E37" s="293"/>
      <c r="F37" s="287" t="s">
        <v>485</v>
      </c>
      <c r="G37" s="289">
        <v>0.2</v>
      </c>
      <c r="H37" s="312">
        <v>0.05</v>
      </c>
      <c r="I37" s="312">
        <v>0.05</v>
      </c>
      <c r="J37" s="312">
        <v>0.35</v>
      </c>
      <c r="K37" s="312">
        <v>0.35</v>
      </c>
      <c r="L37" s="312"/>
      <c r="M37" s="312"/>
      <c r="N37" s="312"/>
      <c r="O37" s="311"/>
      <c r="P37" s="311"/>
      <c r="Q37" s="311"/>
      <c r="R37" s="311"/>
      <c r="S37" s="287">
        <f t="shared" si="1"/>
        <v>0.99999999999999989</v>
      </c>
      <c r="T37" s="717"/>
      <c r="U37" s="730"/>
      <c r="V37" s="746"/>
      <c r="W37" s="308"/>
      <c r="X37" s="306"/>
      <c r="Y37" s="306"/>
      <c r="Z37" s="306"/>
      <c r="AA37" s="306"/>
      <c r="AB37" s="306"/>
      <c r="AC37" s="306"/>
      <c r="AD37" s="306"/>
      <c r="AE37" s="306"/>
      <c r="AF37" s="306"/>
      <c r="AG37" s="306"/>
      <c r="AH37" s="306"/>
      <c r="AI37" s="306"/>
      <c r="AJ37" s="306"/>
      <c r="AK37" s="12"/>
      <c r="AL37" s="12"/>
      <c r="AM37" s="12"/>
      <c r="AN37" s="12"/>
      <c r="AO37" s="12"/>
      <c r="AP37" s="12"/>
      <c r="AQ37" s="12"/>
      <c r="AR37" s="12"/>
      <c r="AS37" s="12"/>
      <c r="AT37" s="12"/>
      <c r="AU37" s="12"/>
      <c r="AV37" s="12"/>
      <c r="AW37" s="12"/>
      <c r="AX37" s="12"/>
      <c r="AY37" s="12"/>
      <c r="AZ37" s="12"/>
      <c r="BA37" s="12"/>
      <c r="BB37" s="12"/>
      <c r="BC37" s="12"/>
      <c r="BD37" s="12"/>
      <c r="BE37" s="12"/>
    </row>
    <row r="38" spans="1:57" s="10" customFormat="1" ht="48.75" customHeight="1" x14ac:dyDescent="0.25">
      <c r="A38" s="720"/>
      <c r="B38" s="735" t="s">
        <v>188</v>
      </c>
      <c r="C38" s="715" t="s">
        <v>513</v>
      </c>
      <c r="D38" s="293" t="s">
        <v>181</v>
      </c>
      <c r="E38" s="293" t="s">
        <v>181</v>
      </c>
      <c r="F38" s="286" t="s">
        <v>483</v>
      </c>
      <c r="G38" s="327">
        <v>0.2</v>
      </c>
      <c r="H38" s="327">
        <v>0.1</v>
      </c>
      <c r="I38" s="327">
        <v>0.05</v>
      </c>
      <c r="J38" s="327">
        <v>0.35</v>
      </c>
      <c r="K38" s="327">
        <v>0.3</v>
      </c>
      <c r="L38" s="312"/>
      <c r="M38" s="312"/>
      <c r="N38" s="312"/>
      <c r="O38" s="311"/>
      <c r="P38" s="311"/>
      <c r="Q38" s="311"/>
      <c r="R38" s="311"/>
      <c r="S38" s="286">
        <f t="shared" si="1"/>
        <v>1</v>
      </c>
      <c r="T38" s="717">
        <v>5.0000000000000001E-3</v>
      </c>
      <c r="U38" s="730">
        <v>5.0000000000000001E-3</v>
      </c>
      <c r="V38" s="747" t="s">
        <v>455</v>
      </c>
      <c r="W38" s="308"/>
      <c r="X38" s="306"/>
      <c r="Y38" s="306"/>
      <c r="Z38" s="306"/>
      <c r="AA38" s="306"/>
      <c r="AB38" s="306"/>
      <c r="AC38" s="306"/>
      <c r="AD38" s="306"/>
      <c r="AE38" s="306"/>
      <c r="AF38" s="306"/>
      <c r="AG38" s="306"/>
      <c r="AH38" s="306"/>
      <c r="AI38" s="306"/>
      <c r="AJ38" s="306"/>
      <c r="AK38" s="12"/>
      <c r="AL38" s="12"/>
      <c r="AM38" s="12"/>
      <c r="AN38" s="12"/>
      <c r="AO38" s="12"/>
      <c r="AP38" s="12"/>
      <c r="AQ38" s="12"/>
      <c r="AR38" s="12"/>
      <c r="AS38" s="12"/>
      <c r="AT38" s="12"/>
      <c r="AU38" s="12"/>
      <c r="AV38" s="12"/>
      <c r="AW38" s="12"/>
      <c r="AX38" s="12"/>
      <c r="AY38" s="12"/>
      <c r="AZ38" s="12"/>
      <c r="BA38" s="12"/>
      <c r="BB38" s="12"/>
      <c r="BC38" s="12"/>
      <c r="BD38" s="12"/>
      <c r="BE38" s="12"/>
    </row>
    <row r="39" spans="1:57" s="10" customFormat="1" ht="41.25" customHeight="1" x14ac:dyDescent="0.25">
      <c r="A39" s="720"/>
      <c r="B39" s="735"/>
      <c r="C39" s="715"/>
      <c r="D39" s="293"/>
      <c r="E39" s="293"/>
      <c r="F39" s="287" t="s">
        <v>485</v>
      </c>
      <c r="G39" s="289">
        <v>0.2</v>
      </c>
      <c r="H39" s="312">
        <v>0.1</v>
      </c>
      <c r="I39" s="312">
        <v>0.05</v>
      </c>
      <c r="J39" s="312">
        <v>0.35</v>
      </c>
      <c r="K39" s="312">
        <v>0.3</v>
      </c>
      <c r="L39" s="312"/>
      <c r="M39" s="312"/>
      <c r="N39" s="312"/>
      <c r="O39" s="311"/>
      <c r="P39" s="311"/>
      <c r="Q39" s="311"/>
      <c r="R39" s="311"/>
      <c r="S39" s="287">
        <f t="shared" si="1"/>
        <v>1</v>
      </c>
      <c r="T39" s="717"/>
      <c r="U39" s="730"/>
      <c r="V39" s="748"/>
      <c r="W39" s="308"/>
      <c r="X39" s="306"/>
      <c r="Y39" s="306"/>
      <c r="Z39" s="306"/>
      <c r="AA39" s="306"/>
      <c r="AB39" s="306"/>
      <c r="AC39" s="306"/>
      <c r="AD39" s="306"/>
      <c r="AE39" s="306"/>
      <c r="AF39" s="306"/>
      <c r="AG39" s="306"/>
      <c r="AH39" s="306"/>
      <c r="AI39" s="306"/>
      <c r="AJ39" s="306"/>
      <c r="AK39" s="12"/>
      <c r="AL39" s="12"/>
      <c r="AM39" s="12"/>
      <c r="AN39" s="12"/>
      <c r="AO39" s="12"/>
      <c r="AP39" s="12"/>
      <c r="AQ39" s="12"/>
      <c r="AR39" s="12"/>
      <c r="AS39" s="12"/>
      <c r="AT39" s="12"/>
      <c r="AU39" s="12"/>
      <c r="AV39" s="12"/>
      <c r="AW39" s="12"/>
      <c r="AX39" s="12"/>
      <c r="AY39" s="12"/>
      <c r="AZ39" s="12"/>
      <c r="BA39" s="12"/>
      <c r="BB39" s="12"/>
      <c r="BC39" s="12"/>
      <c r="BD39" s="12"/>
      <c r="BE39" s="12"/>
    </row>
    <row r="40" spans="1:57" s="10" customFormat="1" ht="53.25" customHeight="1" x14ac:dyDescent="0.25">
      <c r="A40" s="720"/>
      <c r="B40" s="735" t="s">
        <v>189</v>
      </c>
      <c r="C40" s="715" t="s">
        <v>514</v>
      </c>
      <c r="D40" s="293"/>
      <c r="E40" s="293"/>
      <c r="F40" s="286" t="s">
        <v>483</v>
      </c>
      <c r="G40" s="327">
        <v>0.2</v>
      </c>
      <c r="H40" s="327">
        <v>0.1</v>
      </c>
      <c r="I40" s="327">
        <v>0.05</v>
      </c>
      <c r="J40" s="327">
        <v>0.35</v>
      </c>
      <c r="K40" s="327">
        <v>0.3</v>
      </c>
      <c r="L40" s="312"/>
      <c r="M40" s="312"/>
      <c r="N40" s="312"/>
      <c r="O40" s="311"/>
      <c r="P40" s="311"/>
      <c r="Q40" s="311"/>
      <c r="R40" s="311"/>
      <c r="S40" s="286">
        <f t="shared" si="1"/>
        <v>1</v>
      </c>
      <c r="T40" s="717">
        <v>5.0000000000000001E-3</v>
      </c>
      <c r="U40" s="730">
        <v>5.0000000000000001E-3</v>
      </c>
      <c r="V40" s="745" t="s">
        <v>466</v>
      </c>
      <c r="W40" s="308"/>
      <c r="X40" s="306"/>
      <c r="Y40" s="306"/>
      <c r="Z40" s="306"/>
      <c r="AA40" s="306"/>
      <c r="AB40" s="306"/>
      <c r="AC40" s="306"/>
      <c r="AD40" s="306"/>
      <c r="AE40" s="306"/>
      <c r="AF40" s="306"/>
      <c r="AG40" s="306"/>
      <c r="AH40" s="306"/>
      <c r="AI40" s="306"/>
      <c r="AJ40" s="306"/>
      <c r="AK40" s="12"/>
      <c r="AL40" s="12"/>
      <c r="AM40" s="12"/>
      <c r="AN40" s="12"/>
      <c r="AO40" s="12"/>
      <c r="AP40" s="12"/>
      <c r="AQ40" s="12"/>
      <c r="AR40" s="12"/>
      <c r="AS40" s="12"/>
      <c r="AT40" s="12"/>
      <c r="AU40" s="12"/>
      <c r="AV40" s="12"/>
      <c r="AW40" s="12"/>
      <c r="AX40" s="12"/>
      <c r="AY40" s="12"/>
      <c r="AZ40" s="12"/>
      <c r="BA40" s="12"/>
      <c r="BB40" s="12"/>
      <c r="BC40" s="12"/>
      <c r="BD40" s="12"/>
      <c r="BE40" s="12"/>
    </row>
    <row r="41" spans="1:57" s="10" customFormat="1" ht="53.25" customHeight="1" x14ac:dyDescent="0.25">
      <c r="A41" s="720"/>
      <c r="B41" s="735"/>
      <c r="C41" s="715"/>
      <c r="D41" s="293"/>
      <c r="E41" s="293"/>
      <c r="F41" s="287" t="s">
        <v>485</v>
      </c>
      <c r="G41" s="289">
        <v>0.2</v>
      </c>
      <c r="H41" s="312">
        <v>0.1</v>
      </c>
      <c r="I41" s="312">
        <v>0.05</v>
      </c>
      <c r="J41" s="312">
        <v>0.35</v>
      </c>
      <c r="K41" s="312">
        <v>0.3</v>
      </c>
      <c r="L41" s="312"/>
      <c r="M41" s="312"/>
      <c r="N41" s="312"/>
      <c r="O41" s="311"/>
      <c r="P41" s="311"/>
      <c r="Q41" s="311"/>
      <c r="R41" s="311"/>
      <c r="S41" s="287">
        <f t="shared" si="1"/>
        <v>1</v>
      </c>
      <c r="T41" s="717"/>
      <c r="U41" s="730"/>
      <c r="V41" s="746"/>
      <c r="W41" s="308"/>
      <c r="X41" s="306"/>
      <c r="Y41" s="306"/>
      <c r="Z41" s="306"/>
      <c r="AA41" s="306"/>
      <c r="AB41" s="306"/>
      <c r="AC41" s="306"/>
      <c r="AD41" s="306"/>
      <c r="AE41" s="306"/>
      <c r="AF41" s="306"/>
      <c r="AG41" s="306"/>
      <c r="AH41" s="306"/>
      <c r="AI41" s="306"/>
      <c r="AJ41" s="306"/>
      <c r="AK41" s="12"/>
      <c r="AL41" s="12"/>
      <c r="AM41" s="12"/>
      <c r="AN41" s="12"/>
      <c r="AO41" s="12"/>
      <c r="AP41" s="12"/>
      <c r="AQ41" s="12"/>
      <c r="AR41" s="12"/>
      <c r="AS41" s="12"/>
      <c r="AT41" s="12"/>
      <c r="AU41" s="12"/>
      <c r="AV41" s="12"/>
      <c r="AW41" s="12"/>
      <c r="AX41" s="12"/>
      <c r="AY41" s="12"/>
      <c r="AZ41" s="12"/>
      <c r="BA41" s="12"/>
      <c r="BB41" s="12"/>
      <c r="BC41" s="12"/>
      <c r="BD41" s="12"/>
      <c r="BE41" s="12"/>
    </row>
    <row r="42" spans="1:57" s="10" customFormat="1" ht="145.5" customHeight="1" x14ac:dyDescent="0.25">
      <c r="A42" s="720"/>
      <c r="B42" s="735" t="s">
        <v>515</v>
      </c>
      <c r="C42" s="715" t="s">
        <v>516</v>
      </c>
      <c r="D42" s="293" t="s">
        <v>181</v>
      </c>
      <c r="E42" s="293" t="s">
        <v>181</v>
      </c>
      <c r="F42" s="286" t="s">
        <v>483</v>
      </c>
      <c r="G42" s="327">
        <v>0.2</v>
      </c>
      <c r="H42" s="327">
        <v>0.1</v>
      </c>
      <c r="I42" s="327">
        <v>0.1</v>
      </c>
      <c r="J42" s="327">
        <v>0.3</v>
      </c>
      <c r="K42" s="327">
        <v>0.3</v>
      </c>
      <c r="L42" s="312"/>
      <c r="M42" s="312"/>
      <c r="N42" s="312"/>
      <c r="O42" s="311"/>
      <c r="P42" s="311"/>
      <c r="Q42" s="311"/>
      <c r="R42" s="311"/>
      <c r="S42" s="286">
        <f t="shared" si="1"/>
        <v>1</v>
      </c>
      <c r="T42" s="717">
        <v>0.09</v>
      </c>
      <c r="U42" s="730">
        <v>0.09</v>
      </c>
      <c r="V42" s="747" t="s">
        <v>528</v>
      </c>
      <c r="W42" s="308"/>
      <c r="X42" s="306"/>
      <c r="Y42" s="306"/>
      <c r="Z42" s="306"/>
      <c r="AA42" s="306"/>
      <c r="AB42" s="306"/>
      <c r="AC42" s="306"/>
      <c r="AD42" s="306"/>
      <c r="AE42" s="306"/>
      <c r="AF42" s="306"/>
      <c r="AG42" s="306"/>
      <c r="AH42" s="306"/>
      <c r="AI42" s="306"/>
      <c r="AJ42" s="306"/>
      <c r="AK42" s="12"/>
      <c r="AL42" s="12"/>
      <c r="AM42" s="12"/>
      <c r="AN42" s="12"/>
      <c r="AO42" s="12"/>
      <c r="AP42" s="12"/>
      <c r="AQ42" s="12"/>
      <c r="AR42" s="12"/>
      <c r="AS42" s="12"/>
      <c r="AT42" s="12"/>
      <c r="AU42" s="12"/>
      <c r="AV42" s="12"/>
      <c r="AW42" s="12"/>
      <c r="AX42" s="12"/>
      <c r="AY42" s="12"/>
      <c r="AZ42" s="12"/>
      <c r="BA42" s="12"/>
      <c r="BB42" s="12"/>
      <c r="BC42" s="12"/>
      <c r="BD42" s="12"/>
      <c r="BE42" s="12"/>
    </row>
    <row r="43" spans="1:57" s="10" customFormat="1" ht="60.75" customHeight="1" x14ac:dyDescent="0.25">
      <c r="A43" s="720"/>
      <c r="B43" s="735"/>
      <c r="C43" s="715"/>
      <c r="D43" s="293"/>
      <c r="E43" s="293"/>
      <c r="F43" s="287" t="s">
        <v>485</v>
      </c>
      <c r="G43" s="289">
        <v>0.3</v>
      </c>
      <c r="H43" s="312">
        <v>0.3</v>
      </c>
      <c r="I43" s="312">
        <v>0.15</v>
      </c>
      <c r="J43" s="312">
        <v>0.15</v>
      </c>
      <c r="K43" s="312">
        <v>0.1</v>
      </c>
      <c r="L43" s="312"/>
      <c r="M43" s="312"/>
      <c r="N43" s="312"/>
      <c r="O43" s="311"/>
      <c r="P43" s="311"/>
      <c r="Q43" s="311"/>
      <c r="R43" s="311"/>
      <c r="S43" s="287">
        <f t="shared" si="1"/>
        <v>1</v>
      </c>
      <c r="T43" s="717"/>
      <c r="U43" s="730"/>
      <c r="V43" s="751"/>
      <c r="W43" s="308"/>
      <c r="X43" s="306"/>
      <c r="Y43" s="306"/>
      <c r="Z43" s="306"/>
      <c r="AA43" s="306"/>
      <c r="AB43" s="306"/>
      <c r="AC43" s="306"/>
      <c r="AD43" s="306"/>
      <c r="AE43" s="306"/>
      <c r="AF43" s="306"/>
      <c r="AG43" s="306"/>
      <c r="AH43" s="306"/>
      <c r="AI43" s="306"/>
      <c r="AJ43" s="306"/>
      <c r="AK43" s="12"/>
      <c r="AL43" s="12"/>
      <c r="AM43" s="12"/>
      <c r="AN43" s="12"/>
      <c r="AO43" s="12"/>
      <c r="AP43" s="12"/>
      <c r="AQ43" s="12"/>
      <c r="AR43" s="12"/>
      <c r="AS43" s="12"/>
      <c r="AT43" s="12"/>
      <c r="AU43" s="12"/>
      <c r="AV43" s="12"/>
      <c r="AW43" s="12"/>
      <c r="AX43" s="12"/>
      <c r="AY43" s="12"/>
      <c r="AZ43" s="12"/>
      <c r="BA43" s="12"/>
      <c r="BB43" s="12"/>
      <c r="BC43" s="12"/>
      <c r="BD43" s="12"/>
      <c r="BE43" s="12"/>
    </row>
    <row r="44" spans="1:57" s="10" customFormat="1" ht="57" customHeight="1" x14ac:dyDescent="0.25">
      <c r="A44" s="720"/>
      <c r="B44" s="735" t="s">
        <v>190</v>
      </c>
      <c r="C44" s="715" t="s">
        <v>517</v>
      </c>
      <c r="D44" s="293" t="s">
        <v>181</v>
      </c>
      <c r="E44" s="293" t="s">
        <v>181</v>
      </c>
      <c r="F44" s="286" t="s">
        <v>483</v>
      </c>
      <c r="G44" s="327">
        <v>0.2</v>
      </c>
      <c r="H44" s="327">
        <v>0.1</v>
      </c>
      <c r="I44" s="327">
        <v>0.1</v>
      </c>
      <c r="J44" s="327">
        <v>0.3</v>
      </c>
      <c r="K44" s="327">
        <v>0.3</v>
      </c>
      <c r="L44" s="312"/>
      <c r="M44" s="312"/>
      <c r="N44" s="312"/>
      <c r="O44" s="311"/>
      <c r="P44" s="311"/>
      <c r="Q44" s="311"/>
      <c r="R44" s="311"/>
      <c r="S44" s="286">
        <f t="shared" si="1"/>
        <v>1</v>
      </c>
      <c r="T44" s="717">
        <v>0.05</v>
      </c>
      <c r="U44" s="730">
        <v>0.05</v>
      </c>
      <c r="V44" s="745" t="s">
        <v>529</v>
      </c>
      <c r="W44" s="308"/>
      <c r="X44" s="306"/>
      <c r="Y44" s="306"/>
      <c r="Z44" s="306"/>
      <c r="AA44" s="306"/>
      <c r="AB44" s="306"/>
      <c r="AC44" s="306"/>
      <c r="AD44" s="306"/>
      <c r="AE44" s="306"/>
      <c r="AF44" s="306"/>
      <c r="AG44" s="306"/>
      <c r="AH44" s="306"/>
      <c r="AI44" s="306"/>
      <c r="AJ44" s="306"/>
      <c r="AK44" s="12"/>
      <c r="AL44" s="12"/>
      <c r="AM44" s="12"/>
      <c r="AN44" s="12"/>
      <c r="AO44" s="12"/>
      <c r="AP44" s="12"/>
      <c r="AQ44" s="12"/>
      <c r="AR44" s="12"/>
      <c r="AS44" s="12"/>
      <c r="AT44" s="12"/>
      <c r="AU44" s="12"/>
      <c r="AV44" s="12"/>
      <c r="AW44" s="12"/>
      <c r="AX44" s="12"/>
      <c r="AY44" s="12"/>
      <c r="AZ44" s="12"/>
      <c r="BA44" s="12"/>
      <c r="BB44" s="12"/>
      <c r="BC44" s="12"/>
      <c r="BD44" s="12"/>
      <c r="BE44" s="12"/>
    </row>
    <row r="45" spans="1:57" s="10" customFormat="1" ht="104.25" customHeight="1" x14ac:dyDescent="0.25">
      <c r="A45" s="720"/>
      <c r="B45" s="735"/>
      <c r="C45" s="715"/>
      <c r="D45" s="293"/>
      <c r="E45" s="293"/>
      <c r="F45" s="287" t="s">
        <v>485</v>
      </c>
      <c r="G45" s="289">
        <v>0.3</v>
      </c>
      <c r="H45" s="312">
        <v>0.3</v>
      </c>
      <c r="I45" s="312">
        <v>0.1</v>
      </c>
      <c r="J45" s="312">
        <v>0.15</v>
      </c>
      <c r="K45" s="312">
        <v>0.15</v>
      </c>
      <c r="L45" s="312"/>
      <c r="M45" s="312"/>
      <c r="N45" s="312"/>
      <c r="O45" s="311"/>
      <c r="P45" s="311"/>
      <c r="Q45" s="311"/>
      <c r="R45" s="311"/>
      <c r="S45" s="287">
        <f t="shared" si="1"/>
        <v>1</v>
      </c>
      <c r="T45" s="717"/>
      <c r="U45" s="730"/>
      <c r="V45" s="746"/>
      <c r="W45" s="308"/>
      <c r="X45" s="306"/>
      <c r="Y45" s="306"/>
      <c r="Z45" s="306"/>
      <c r="AA45" s="306"/>
      <c r="AB45" s="306"/>
      <c r="AC45" s="306"/>
      <c r="AD45" s="306"/>
      <c r="AE45" s="306"/>
      <c r="AF45" s="306"/>
      <c r="AG45" s="306"/>
      <c r="AH45" s="306"/>
      <c r="AI45" s="306"/>
      <c r="AJ45" s="306"/>
      <c r="AK45" s="12"/>
      <c r="AL45" s="12"/>
      <c r="AM45" s="12"/>
      <c r="AN45" s="12"/>
      <c r="AO45" s="12"/>
      <c r="AP45" s="12"/>
      <c r="AQ45" s="12"/>
      <c r="AR45" s="12"/>
      <c r="AS45" s="12"/>
      <c r="AT45" s="12"/>
      <c r="AU45" s="12"/>
      <c r="AV45" s="12"/>
      <c r="AW45" s="12"/>
      <c r="AX45" s="12"/>
      <c r="AY45" s="12"/>
      <c r="AZ45" s="12"/>
      <c r="BA45" s="12"/>
      <c r="BB45" s="12"/>
      <c r="BC45" s="12"/>
      <c r="BD45" s="12"/>
      <c r="BE45" s="12"/>
    </row>
    <row r="46" spans="1:57" s="10" customFormat="1" ht="91.5" customHeight="1" x14ac:dyDescent="0.25">
      <c r="A46" s="720"/>
      <c r="B46" s="735" t="s">
        <v>191</v>
      </c>
      <c r="C46" s="715" t="s">
        <v>518</v>
      </c>
      <c r="D46" s="293" t="s">
        <v>181</v>
      </c>
      <c r="E46" s="293" t="s">
        <v>181</v>
      </c>
      <c r="F46" s="286" t="s">
        <v>483</v>
      </c>
      <c r="G46" s="327">
        <v>0.2</v>
      </c>
      <c r="H46" s="327">
        <v>0.1</v>
      </c>
      <c r="I46" s="327">
        <v>0.1</v>
      </c>
      <c r="J46" s="327">
        <v>0.3</v>
      </c>
      <c r="K46" s="327">
        <v>0.3</v>
      </c>
      <c r="L46" s="312"/>
      <c r="M46" s="312"/>
      <c r="N46" s="312"/>
      <c r="O46" s="311"/>
      <c r="P46" s="311"/>
      <c r="Q46" s="311"/>
      <c r="R46" s="311"/>
      <c r="S46" s="286">
        <f t="shared" si="1"/>
        <v>1</v>
      </c>
      <c r="T46" s="717">
        <v>0.02</v>
      </c>
      <c r="U46" s="730">
        <v>0.02</v>
      </c>
      <c r="V46" s="747" t="s">
        <v>530</v>
      </c>
      <c r="W46" s="308"/>
      <c r="X46" s="306"/>
      <c r="Y46" s="306"/>
      <c r="Z46" s="306"/>
      <c r="AA46" s="306"/>
      <c r="AB46" s="306"/>
      <c r="AC46" s="306"/>
      <c r="AD46" s="306"/>
      <c r="AE46" s="306"/>
      <c r="AF46" s="306"/>
      <c r="AG46" s="306"/>
      <c r="AH46" s="306"/>
      <c r="AI46" s="306"/>
      <c r="AJ46" s="306"/>
      <c r="AK46" s="12"/>
      <c r="AL46" s="12"/>
      <c r="AM46" s="12"/>
      <c r="AN46" s="12"/>
      <c r="AO46" s="12"/>
      <c r="AP46" s="12"/>
      <c r="AQ46" s="12"/>
      <c r="AR46" s="12"/>
      <c r="AS46" s="12"/>
      <c r="AT46" s="12"/>
      <c r="AU46" s="12"/>
      <c r="AV46" s="12"/>
      <c r="AW46" s="12"/>
      <c r="AX46" s="12"/>
      <c r="AY46" s="12"/>
      <c r="AZ46" s="12"/>
      <c r="BA46" s="12"/>
      <c r="BB46" s="12"/>
      <c r="BC46" s="12"/>
      <c r="BD46" s="12"/>
      <c r="BE46" s="12"/>
    </row>
    <row r="47" spans="1:57" s="10" customFormat="1" ht="101.25" customHeight="1" thickBot="1" x14ac:dyDescent="0.3">
      <c r="A47" s="729"/>
      <c r="B47" s="752"/>
      <c r="C47" s="739"/>
      <c r="D47" s="294"/>
      <c r="E47" s="294"/>
      <c r="F47" s="285" t="s">
        <v>485</v>
      </c>
      <c r="G47" s="316">
        <v>0.2</v>
      </c>
      <c r="H47" s="309">
        <v>0.2</v>
      </c>
      <c r="I47" s="309">
        <v>0.2</v>
      </c>
      <c r="J47" s="309">
        <v>0.2</v>
      </c>
      <c r="K47" s="309">
        <v>0.2</v>
      </c>
      <c r="L47" s="309"/>
      <c r="M47" s="309"/>
      <c r="N47" s="309"/>
      <c r="O47" s="310"/>
      <c r="P47" s="310"/>
      <c r="Q47" s="310"/>
      <c r="R47" s="310"/>
      <c r="S47" s="285">
        <f t="shared" si="1"/>
        <v>1</v>
      </c>
      <c r="T47" s="728"/>
      <c r="U47" s="711"/>
      <c r="V47" s="753"/>
      <c r="W47" s="308"/>
      <c r="X47" s="306"/>
      <c r="Y47" s="306"/>
      <c r="Z47" s="306"/>
      <c r="AA47" s="306"/>
      <c r="AB47" s="306"/>
      <c r="AC47" s="306"/>
      <c r="AD47" s="306"/>
      <c r="AE47" s="306"/>
      <c r="AF47" s="306"/>
      <c r="AG47" s="306"/>
      <c r="AH47" s="306"/>
      <c r="AI47" s="306"/>
      <c r="AJ47" s="306"/>
      <c r="AK47" s="12"/>
      <c r="AL47" s="12"/>
      <c r="AM47" s="12"/>
      <c r="AN47" s="12"/>
      <c r="AO47" s="12"/>
      <c r="AP47" s="12"/>
      <c r="AQ47" s="12"/>
      <c r="AR47" s="12"/>
      <c r="AS47" s="12"/>
      <c r="AT47" s="12"/>
      <c r="AU47" s="12"/>
      <c r="AV47" s="12"/>
      <c r="AW47" s="12"/>
      <c r="AX47" s="12"/>
      <c r="AY47" s="12"/>
      <c r="AZ47" s="12"/>
      <c r="BA47" s="12"/>
      <c r="BB47" s="12"/>
      <c r="BC47" s="12"/>
      <c r="BD47" s="12"/>
      <c r="BE47" s="12"/>
    </row>
    <row r="48" spans="1:57" s="10" customFormat="1" ht="62.25" customHeight="1" x14ac:dyDescent="0.25">
      <c r="A48" s="733" t="s">
        <v>192</v>
      </c>
      <c r="B48" s="734" t="s">
        <v>193</v>
      </c>
      <c r="C48" s="736" t="s">
        <v>519</v>
      </c>
      <c r="D48" s="295" t="s">
        <v>181</v>
      </c>
      <c r="E48" s="295" t="s">
        <v>181</v>
      </c>
      <c r="F48" s="284" t="s">
        <v>483</v>
      </c>
      <c r="G48" s="325">
        <v>0.2</v>
      </c>
      <c r="H48" s="325">
        <v>0.1</v>
      </c>
      <c r="I48" s="325">
        <v>0.05</v>
      </c>
      <c r="J48" s="325">
        <v>0.35</v>
      </c>
      <c r="K48" s="325">
        <v>0.3</v>
      </c>
      <c r="L48" s="326"/>
      <c r="M48" s="326"/>
      <c r="N48" s="326"/>
      <c r="O48" s="307"/>
      <c r="P48" s="307"/>
      <c r="Q48" s="307"/>
      <c r="R48" s="307"/>
      <c r="S48" s="284">
        <v>1</v>
      </c>
      <c r="T48" s="737">
        <v>0.1</v>
      </c>
      <c r="U48" s="762">
        <v>0.1</v>
      </c>
      <c r="V48" s="768" t="s">
        <v>520</v>
      </c>
      <c r="W48" s="308"/>
      <c r="X48" s="306"/>
      <c r="Y48" s="306"/>
      <c r="Z48" s="306"/>
      <c r="AA48" s="306"/>
      <c r="AB48" s="306"/>
      <c r="AC48" s="306"/>
      <c r="AD48" s="306"/>
      <c r="AE48" s="306"/>
      <c r="AF48" s="306"/>
      <c r="AG48" s="306"/>
      <c r="AH48" s="306"/>
      <c r="AI48" s="306"/>
      <c r="AJ48" s="306"/>
      <c r="AK48" s="12"/>
      <c r="AL48" s="12"/>
      <c r="AM48" s="12"/>
      <c r="AN48" s="12"/>
      <c r="AO48" s="12"/>
      <c r="AP48" s="12"/>
      <c r="AQ48" s="12"/>
      <c r="AR48" s="12"/>
      <c r="AS48" s="12"/>
      <c r="AT48" s="12"/>
      <c r="AU48" s="12"/>
      <c r="AV48" s="12"/>
      <c r="AW48" s="12"/>
      <c r="AX48" s="12"/>
      <c r="AY48" s="12"/>
      <c r="AZ48" s="12"/>
      <c r="BA48" s="12"/>
      <c r="BB48" s="12"/>
      <c r="BC48" s="12"/>
      <c r="BD48" s="12"/>
      <c r="BE48" s="12"/>
    </row>
    <row r="49" spans="1:60" s="10" customFormat="1" ht="58.5" customHeight="1" x14ac:dyDescent="0.25">
      <c r="A49" s="720"/>
      <c r="B49" s="735"/>
      <c r="C49" s="715"/>
      <c r="D49" s="293"/>
      <c r="E49" s="293"/>
      <c r="F49" s="287" t="s">
        <v>485</v>
      </c>
      <c r="G49" s="296">
        <v>0.2</v>
      </c>
      <c r="H49" s="296">
        <v>0.1</v>
      </c>
      <c r="I49" s="296">
        <v>0.05</v>
      </c>
      <c r="J49" s="312">
        <v>0.35</v>
      </c>
      <c r="K49" s="312">
        <v>0.3</v>
      </c>
      <c r="L49" s="312"/>
      <c r="M49" s="312"/>
      <c r="N49" s="312"/>
      <c r="O49" s="311"/>
      <c r="P49" s="311"/>
      <c r="Q49" s="311"/>
      <c r="R49" s="311"/>
      <c r="S49" s="287">
        <f>SUM(G49:K49)</f>
        <v>1</v>
      </c>
      <c r="T49" s="717"/>
      <c r="U49" s="754"/>
      <c r="V49" s="768"/>
      <c r="W49" s="308"/>
      <c r="X49" s="306"/>
      <c r="Y49" s="306"/>
      <c r="Z49" s="306"/>
      <c r="AA49" s="306"/>
      <c r="AB49" s="306"/>
      <c r="AC49" s="306"/>
      <c r="AD49" s="306"/>
      <c r="AE49" s="306"/>
      <c r="AF49" s="306"/>
      <c r="AG49" s="306"/>
      <c r="AH49" s="306"/>
      <c r="AI49" s="306"/>
      <c r="AJ49" s="306"/>
      <c r="AK49" s="12"/>
      <c r="AL49" s="12"/>
      <c r="AM49" s="12"/>
      <c r="AN49" s="12"/>
      <c r="AO49" s="12"/>
      <c r="AP49" s="12"/>
      <c r="AQ49" s="12"/>
      <c r="AR49" s="12"/>
      <c r="AS49" s="12"/>
      <c r="AT49" s="12"/>
      <c r="AU49" s="12"/>
      <c r="AV49" s="12"/>
      <c r="AW49" s="12"/>
      <c r="AX49" s="12"/>
      <c r="AY49" s="12"/>
      <c r="AZ49" s="12"/>
      <c r="BA49" s="12"/>
      <c r="BB49" s="12"/>
      <c r="BC49" s="12"/>
      <c r="BD49" s="12"/>
      <c r="BE49" s="12"/>
    </row>
    <row r="50" spans="1:60" s="10" customFormat="1" ht="53.25" customHeight="1" x14ac:dyDescent="0.25">
      <c r="A50" s="720"/>
      <c r="B50" s="735" t="s">
        <v>521</v>
      </c>
      <c r="C50" s="715" t="s">
        <v>522</v>
      </c>
      <c r="D50" s="293" t="s">
        <v>181</v>
      </c>
      <c r="E50" s="293" t="s">
        <v>181</v>
      </c>
      <c r="F50" s="286" t="s">
        <v>483</v>
      </c>
      <c r="G50" s="327">
        <v>0.2</v>
      </c>
      <c r="H50" s="327">
        <v>0.1</v>
      </c>
      <c r="I50" s="327">
        <v>0.05</v>
      </c>
      <c r="J50" s="327">
        <v>0.35</v>
      </c>
      <c r="K50" s="327">
        <v>0.3</v>
      </c>
      <c r="L50" s="312"/>
      <c r="M50" s="312"/>
      <c r="N50" s="312"/>
      <c r="O50" s="311"/>
      <c r="P50" s="311"/>
      <c r="Q50" s="311"/>
      <c r="R50" s="311"/>
      <c r="S50" s="286">
        <v>1</v>
      </c>
      <c r="T50" s="717">
        <v>0.08</v>
      </c>
      <c r="U50" s="769">
        <v>0.08</v>
      </c>
      <c r="V50" s="760" t="s">
        <v>523</v>
      </c>
      <c r="W50" s="308"/>
      <c r="X50" s="306"/>
      <c r="Y50" s="306"/>
      <c r="Z50" s="306"/>
      <c r="AA50" s="306"/>
      <c r="AB50" s="306"/>
      <c r="AC50" s="306"/>
      <c r="AD50" s="306"/>
      <c r="AE50" s="306"/>
      <c r="AF50" s="306"/>
      <c r="AG50" s="306"/>
      <c r="AH50" s="306"/>
      <c r="AI50" s="306"/>
      <c r="AJ50" s="306"/>
      <c r="AK50" s="12"/>
      <c r="AL50" s="12"/>
      <c r="AM50" s="12"/>
      <c r="AN50" s="12"/>
      <c r="AO50" s="12"/>
      <c r="AP50" s="12"/>
      <c r="AQ50" s="12"/>
      <c r="AR50" s="12"/>
      <c r="AS50" s="12"/>
      <c r="AT50" s="12"/>
      <c r="AU50" s="12"/>
      <c r="AV50" s="12"/>
      <c r="AW50" s="12"/>
      <c r="AX50" s="12"/>
      <c r="AY50" s="12"/>
      <c r="AZ50" s="12"/>
      <c r="BA50" s="12"/>
      <c r="BB50" s="12"/>
      <c r="BC50" s="12"/>
      <c r="BD50" s="12"/>
      <c r="BE50" s="12"/>
    </row>
    <row r="51" spans="1:60" s="10" customFormat="1" ht="53.25" customHeight="1" thickBot="1" x14ac:dyDescent="0.3">
      <c r="A51" s="729"/>
      <c r="B51" s="752"/>
      <c r="C51" s="739"/>
      <c r="D51" s="294"/>
      <c r="E51" s="294"/>
      <c r="F51" s="285" t="s">
        <v>485</v>
      </c>
      <c r="G51" s="316">
        <v>0.2</v>
      </c>
      <c r="H51" s="309">
        <v>0.1</v>
      </c>
      <c r="I51" s="309">
        <v>0.05</v>
      </c>
      <c r="J51" s="309">
        <v>0.35</v>
      </c>
      <c r="K51" s="309">
        <v>0.3</v>
      </c>
      <c r="L51" s="309"/>
      <c r="M51" s="309"/>
      <c r="N51" s="309"/>
      <c r="O51" s="310"/>
      <c r="P51" s="310"/>
      <c r="Q51" s="310"/>
      <c r="R51" s="310"/>
      <c r="S51" s="285">
        <f>SUM(G51:L51)</f>
        <v>1</v>
      </c>
      <c r="T51" s="728"/>
      <c r="U51" s="770"/>
      <c r="V51" s="760"/>
      <c r="W51" s="308"/>
      <c r="X51" s="306"/>
      <c r="Y51" s="306"/>
      <c r="Z51" s="306"/>
      <c r="AA51" s="306"/>
      <c r="AB51" s="306"/>
      <c r="AC51" s="306"/>
      <c r="AD51" s="306"/>
      <c r="AE51" s="306"/>
      <c r="AF51" s="306"/>
      <c r="AG51" s="306"/>
      <c r="AH51" s="306"/>
      <c r="AI51" s="306"/>
      <c r="AJ51" s="306"/>
      <c r="AK51" s="12"/>
      <c r="AL51" s="12"/>
      <c r="AM51" s="12"/>
      <c r="AN51" s="12"/>
      <c r="AO51" s="12"/>
      <c r="AP51" s="12"/>
      <c r="AQ51" s="12"/>
      <c r="AR51" s="12"/>
      <c r="AS51" s="12"/>
      <c r="AT51" s="12"/>
      <c r="AU51" s="12"/>
      <c r="AV51" s="12"/>
      <c r="AW51" s="12"/>
      <c r="AX51" s="12"/>
      <c r="AY51" s="12"/>
      <c r="AZ51" s="12"/>
      <c r="BA51" s="12"/>
      <c r="BB51" s="12"/>
      <c r="BC51" s="12"/>
      <c r="BD51" s="12"/>
      <c r="BE51" s="12"/>
    </row>
    <row r="52" spans="1:60" s="10" customFormat="1" ht="53.25" customHeight="1" x14ac:dyDescent="0.25">
      <c r="A52" s="733" t="s">
        <v>194</v>
      </c>
      <c r="B52" s="734" t="s">
        <v>524</v>
      </c>
      <c r="C52" s="736" t="s">
        <v>525</v>
      </c>
      <c r="D52" s="295" t="s">
        <v>181</v>
      </c>
      <c r="E52" s="295" t="s">
        <v>181</v>
      </c>
      <c r="F52" s="284" t="s">
        <v>483</v>
      </c>
      <c r="G52" s="325">
        <v>0.2</v>
      </c>
      <c r="H52" s="325">
        <v>0.1</v>
      </c>
      <c r="I52" s="325">
        <v>0.05</v>
      </c>
      <c r="J52" s="325">
        <v>0.3</v>
      </c>
      <c r="K52" s="325">
        <v>0.35</v>
      </c>
      <c r="L52" s="326"/>
      <c r="M52" s="326"/>
      <c r="N52" s="326"/>
      <c r="O52" s="307"/>
      <c r="P52" s="307"/>
      <c r="Q52" s="307"/>
      <c r="R52" s="307"/>
      <c r="S52" s="284">
        <v>1</v>
      </c>
      <c r="T52" s="737">
        <v>0.02</v>
      </c>
      <c r="U52" s="762">
        <v>0.02</v>
      </c>
      <c r="V52" s="763" t="s">
        <v>526</v>
      </c>
      <c r="W52" s="308"/>
      <c r="X52" s="306"/>
      <c r="Y52" s="306"/>
      <c r="Z52" s="306"/>
      <c r="AA52" s="306"/>
      <c r="AB52" s="306"/>
      <c r="AC52" s="306"/>
      <c r="AD52" s="306"/>
      <c r="AE52" s="306"/>
      <c r="AF52" s="306"/>
      <c r="AG52" s="306"/>
      <c r="AH52" s="306"/>
      <c r="AI52" s="306"/>
      <c r="AJ52" s="306"/>
      <c r="AK52" s="12"/>
      <c r="AL52" s="12"/>
      <c r="AM52" s="12"/>
      <c r="AN52" s="12"/>
      <c r="AO52" s="12"/>
      <c r="AP52" s="12"/>
      <c r="AQ52" s="12"/>
      <c r="AR52" s="12"/>
      <c r="AS52" s="12"/>
      <c r="AT52" s="12"/>
      <c r="AU52" s="12"/>
      <c r="AV52" s="12"/>
      <c r="AW52" s="12"/>
      <c r="AX52" s="12"/>
      <c r="AY52" s="12"/>
      <c r="AZ52" s="12"/>
      <c r="BA52" s="12"/>
      <c r="BB52" s="12"/>
      <c r="BC52" s="12"/>
      <c r="BD52" s="12"/>
      <c r="BE52" s="12"/>
    </row>
    <row r="53" spans="1:60" s="10" customFormat="1" ht="53.25" customHeight="1" x14ac:dyDescent="0.25">
      <c r="A53" s="720"/>
      <c r="B53" s="735"/>
      <c r="C53" s="715"/>
      <c r="D53" s="293"/>
      <c r="E53" s="293"/>
      <c r="F53" s="287" t="s">
        <v>485</v>
      </c>
      <c r="G53" s="289">
        <v>0.2</v>
      </c>
      <c r="H53" s="312">
        <v>0.1</v>
      </c>
      <c r="I53" s="312">
        <v>0.05</v>
      </c>
      <c r="J53" s="312">
        <v>0.3</v>
      </c>
      <c r="K53" s="312">
        <v>0.35</v>
      </c>
      <c r="L53" s="312"/>
      <c r="M53" s="312"/>
      <c r="N53" s="312"/>
      <c r="O53" s="311"/>
      <c r="P53" s="311"/>
      <c r="Q53" s="311"/>
      <c r="R53" s="311"/>
      <c r="S53" s="287">
        <v>0</v>
      </c>
      <c r="T53" s="717"/>
      <c r="U53" s="754"/>
      <c r="V53" s="764"/>
      <c r="W53" s="308"/>
      <c r="X53" s="306"/>
      <c r="Y53" s="306"/>
      <c r="Z53" s="306"/>
      <c r="AA53" s="306"/>
      <c r="AB53" s="306"/>
      <c r="AC53" s="306"/>
      <c r="AD53" s="306"/>
      <c r="AE53" s="306"/>
      <c r="AF53" s="306"/>
      <c r="AG53" s="306"/>
      <c r="AH53" s="306"/>
      <c r="AI53" s="306"/>
      <c r="AJ53" s="306"/>
      <c r="AK53" s="12"/>
      <c r="AL53" s="12"/>
      <c r="AM53" s="12"/>
      <c r="AN53" s="12"/>
      <c r="AO53" s="12"/>
      <c r="AP53" s="12"/>
      <c r="AQ53" s="12"/>
      <c r="AR53" s="12"/>
      <c r="AS53" s="12"/>
      <c r="AT53" s="12"/>
      <c r="AU53" s="12"/>
      <c r="AV53" s="12"/>
      <c r="AW53" s="12"/>
      <c r="AX53" s="12"/>
      <c r="AY53" s="12"/>
      <c r="AZ53" s="12"/>
      <c r="BA53" s="12"/>
      <c r="BB53" s="12"/>
      <c r="BC53" s="12"/>
      <c r="BD53" s="12"/>
      <c r="BE53" s="12"/>
    </row>
    <row r="54" spans="1:60" s="10" customFormat="1" ht="53.25" customHeight="1" x14ac:dyDescent="0.25">
      <c r="A54" s="720"/>
      <c r="B54" s="735" t="s">
        <v>195</v>
      </c>
      <c r="C54" s="715" t="s">
        <v>527</v>
      </c>
      <c r="D54" s="293" t="s">
        <v>181</v>
      </c>
      <c r="E54" s="293" t="s">
        <v>181</v>
      </c>
      <c r="F54" s="286" t="s">
        <v>483</v>
      </c>
      <c r="G54" s="327">
        <v>0.2</v>
      </c>
      <c r="H54" s="327">
        <v>0.1</v>
      </c>
      <c r="I54" s="327">
        <v>0.05</v>
      </c>
      <c r="J54" s="327">
        <v>0.3</v>
      </c>
      <c r="K54" s="327">
        <v>0.35</v>
      </c>
      <c r="L54" s="312"/>
      <c r="M54" s="312"/>
      <c r="N54" s="312"/>
      <c r="O54" s="311"/>
      <c r="P54" s="311"/>
      <c r="Q54" s="311"/>
      <c r="R54" s="311"/>
      <c r="S54" s="286">
        <v>1</v>
      </c>
      <c r="T54" s="717">
        <v>0.02</v>
      </c>
      <c r="U54" s="754">
        <v>0.02</v>
      </c>
      <c r="V54" s="756" t="s">
        <v>463</v>
      </c>
      <c r="W54" s="308"/>
      <c r="X54" s="306"/>
      <c r="Y54" s="306"/>
      <c r="Z54" s="306"/>
      <c r="AA54" s="306"/>
      <c r="AB54" s="306"/>
      <c r="AC54" s="306"/>
      <c r="AD54" s="306"/>
      <c r="AE54" s="306"/>
      <c r="AF54" s="306"/>
      <c r="AG54" s="306"/>
      <c r="AH54" s="306"/>
      <c r="AI54" s="306"/>
      <c r="AJ54" s="306"/>
      <c r="AK54" s="12"/>
      <c r="AL54" s="12"/>
      <c r="AM54" s="12"/>
      <c r="AN54" s="12"/>
      <c r="AO54" s="12"/>
      <c r="AP54" s="12"/>
      <c r="AQ54" s="12"/>
      <c r="AR54" s="12"/>
      <c r="AS54" s="12"/>
      <c r="AT54" s="12"/>
      <c r="AU54" s="12"/>
      <c r="AV54" s="12"/>
      <c r="AW54" s="12"/>
      <c r="AX54" s="12"/>
      <c r="AY54" s="12"/>
      <c r="AZ54" s="12"/>
      <c r="BA54" s="12"/>
      <c r="BB54" s="12"/>
      <c r="BC54" s="12"/>
      <c r="BD54" s="12"/>
      <c r="BE54" s="12"/>
    </row>
    <row r="55" spans="1:60" s="10" customFormat="1" ht="53.25" customHeight="1" thickBot="1" x14ac:dyDescent="0.3">
      <c r="A55" s="761"/>
      <c r="B55" s="765"/>
      <c r="C55" s="766"/>
      <c r="D55" s="297"/>
      <c r="E55" s="297"/>
      <c r="F55" s="298" t="s">
        <v>485</v>
      </c>
      <c r="G55" s="329">
        <v>0.2</v>
      </c>
      <c r="H55" s="330">
        <v>0.1</v>
      </c>
      <c r="I55" s="330">
        <v>0.05</v>
      </c>
      <c r="J55" s="330">
        <v>0.3</v>
      </c>
      <c r="K55" s="330">
        <v>0.35</v>
      </c>
      <c r="L55" s="330"/>
      <c r="M55" s="330"/>
      <c r="N55" s="330"/>
      <c r="O55" s="317"/>
      <c r="P55" s="317"/>
      <c r="Q55" s="317"/>
      <c r="R55" s="317"/>
      <c r="S55" s="298">
        <v>0</v>
      </c>
      <c r="T55" s="767"/>
      <c r="U55" s="755"/>
      <c r="V55" s="757"/>
      <c r="W55" s="308"/>
      <c r="X55" s="306"/>
      <c r="Y55" s="306"/>
      <c r="Z55" s="306"/>
      <c r="AA55" s="306"/>
      <c r="AB55" s="306"/>
      <c r="AC55" s="306"/>
      <c r="AD55" s="306"/>
      <c r="AE55" s="306"/>
      <c r="AF55" s="306"/>
      <c r="AG55" s="306"/>
      <c r="AH55" s="306"/>
      <c r="AI55" s="306"/>
      <c r="AJ55" s="306"/>
      <c r="AK55" s="12"/>
      <c r="AL55" s="12"/>
      <c r="AM55" s="12"/>
      <c r="AN55" s="12"/>
      <c r="AO55" s="12"/>
      <c r="AP55" s="12"/>
      <c r="AQ55" s="12"/>
      <c r="AR55" s="12"/>
      <c r="AS55" s="12"/>
      <c r="AT55" s="12"/>
      <c r="AU55" s="12"/>
      <c r="AV55" s="12"/>
      <c r="AW55" s="12"/>
      <c r="AX55" s="12"/>
      <c r="AY55" s="12"/>
      <c r="AZ55" s="12"/>
      <c r="BA55" s="12"/>
      <c r="BB55" s="12"/>
      <c r="BC55" s="12"/>
      <c r="BD55" s="12"/>
      <c r="BE55" s="12"/>
    </row>
    <row r="56" spans="1:60" s="15" customFormat="1" ht="18.75" customHeight="1" thickBot="1" x14ac:dyDescent="0.3">
      <c r="A56" s="758" t="s">
        <v>30</v>
      </c>
      <c r="B56" s="759"/>
      <c r="C56" s="759"/>
      <c r="D56" s="759"/>
      <c r="E56" s="759"/>
      <c r="F56" s="759"/>
      <c r="G56" s="759"/>
      <c r="H56" s="759"/>
      <c r="I56" s="759"/>
      <c r="J56" s="759"/>
      <c r="K56" s="759"/>
      <c r="L56" s="759"/>
      <c r="M56" s="759"/>
      <c r="N56" s="759"/>
      <c r="O56" s="759"/>
      <c r="P56" s="759"/>
      <c r="Q56" s="759"/>
      <c r="R56" s="759"/>
      <c r="S56" s="759"/>
      <c r="T56" s="299">
        <f>SUM(T8:T55)</f>
        <v>1</v>
      </c>
      <c r="U56" s="299">
        <f>SUM(U8:U55)</f>
        <v>1</v>
      </c>
      <c r="V56" s="300"/>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row>
    <row r="57" spans="1:60" s="15" customFormat="1" ht="30.75" customHeight="1" x14ac:dyDescent="0.25">
      <c r="A57" s="318"/>
      <c r="B57" s="318"/>
      <c r="C57" s="319"/>
      <c r="D57" s="318"/>
      <c r="E57" s="318"/>
      <c r="F57" s="318"/>
      <c r="G57" s="320"/>
      <c r="H57" s="320"/>
      <c r="I57" s="320"/>
      <c r="J57" s="320"/>
      <c r="K57" s="320"/>
      <c r="L57" s="320"/>
      <c r="M57" s="320"/>
      <c r="N57" s="320"/>
      <c r="O57" s="320"/>
      <c r="P57" s="320"/>
      <c r="Q57" s="320"/>
      <c r="R57" s="320"/>
      <c r="S57" s="320"/>
      <c r="T57" s="321"/>
      <c r="U57" s="321"/>
      <c r="V57" s="301" t="s">
        <v>395</v>
      </c>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row>
    <row r="58" spans="1:60" ht="29.25" customHeight="1" x14ac:dyDescent="0.25">
      <c r="A58" s="308"/>
      <c r="B58" s="308"/>
      <c r="C58" s="322"/>
      <c r="D58" s="308"/>
      <c r="E58" s="308"/>
      <c r="F58" s="308"/>
      <c r="G58" s="308"/>
      <c r="H58" s="308"/>
      <c r="I58" s="308"/>
      <c r="J58" s="308"/>
      <c r="K58" s="308"/>
      <c r="L58" s="308"/>
      <c r="M58" s="308"/>
      <c r="N58" s="323"/>
      <c r="O58" s="323"/>
      <c r="P58" s="323"/>
      <c r="Q58" s="323"/>
      <c r="R58" s="323"/>
      <c r="S58" s="323"/>
      <c r="T58" s="323"/>
      <c r="U58" s="323"/>
    </row>
    <row r="59" spans="1:60" x14ac:dyDescent="0.25">
      <c r="A59" s="308"/>
      <c r="B59" s="308"/>
      <c r="C59" s="322"/>
      <c r="D59" s="308"/>
      <c r="E59" s="308"/>
      <c r="F59" s="308"/>
      <c r="G59" s="308"/>
      <c r="H59" s="308"/>
      <c r="I59" s="308"/>
      <c r="J59" s="308"/>
      <c r="K59" s="308"/>
      <c r="L59" s="308"/>
      <c r="M59" s="308"/>
      <c r="N59" s="323"/>
      <c r="O59" s="323"/>
      <c r="P59" s="323"/>
      <c r="Q59" s="323"/>
      <c r="R59" s="323"/>
      <c r="S59" s="323"/>
      <c r="T59" s="323"/>
      <c r="U59" s="323"/>
    </row>
    <row r="60" spans="1:60" x14ac:dyDescent="0.25">
      <c r="A60" s="308"/>
      <c r="B60" s="308"/>
      <c r="C60" s="322"/>
      <c r="D60" s="308"/>
      <c r="E60" s="308"/>
      <c r="F60" s="308"/>
      <c r="G60" s="308"/>
      <c r="H60" s="308"/>
      <c r="I60" s="308"/>
      <c r="J60" s="308"/>
      <c r="K60" s="308"/>
      <c r="L60" s="308"/>
      <c r="M60" s="308"/>
      <c r="N60" s="323"/>
      <c r="O60" s="323"/>
      <c r="P60" s="323"/>
      <c r="Q60" s="323"/>
      <c r="R60" s="323"/>
      <c r="S60" s="323"/>
      <c r="T60" s="323"/>
      <c r="U60" s="323"/>
    </row>
    <row r="61" spans="1:60" x14ac:dyDescent="0.25">
      <c r="A61" s="308"/>
      <c r="B61" s="308"/>
      <c r="C61" s="322"/>
      <c r="D61" s="308"/>
      <c r="E61" s="308"/>
      <c r="F61" s="308"/>
      <c r="G61" s="308"/>
      <c r="H61" s="308"/>
      <c r="I61" s="308"/>
      <c r="J61" s="308"/>
      <c r="K61" s="308"/>
      <c r="L61" s="308"/>
      <c r="M61" s="308"/>
      <c r="N61" s="323"/>
      <c r="O61" s="323"/>
      <c r="P61" s="323"/>
      <c r="Q61" s="323"/>
      <c r="R61" s="323"/>
      <c r="S61" s="323"/>
      <c r="T61" s="323"/>
      <c r="U61" s="323"/>
    </row>
    <row r="62" spans="1:60" x14ac:dyDescent="0.25">
      <c r="A62" s="308"/>
      <c r="B62" s="308"/>
      <c r="C62" s="322"/>
      <c r="D62" s="308"/>
      <c r="E62" s="308"/>
      <c r="F62" s="308"/>
      <c r="G62" s="308"/>
      <c r="H62" s="308"/>
      <c r="I62" s="308"/>
      <c r="J62" s="308"/>
      <c r="K62" s="308"/>
      <c r="L62" s="308"/>
      <c r="M62" s="308"/>
      <c r="N62" s="323"/>
      <c r="O62" s="323"/>
      <c r="P62" s="323"/>
      <c r="Q62" s="323"/>
      <c r="R62" s="323"/>
      <c r="S62" s="323"/>
      <c r="T62" s="323"/>
      <c r="U62" s="323"/>
    </row>
    <row r="63" spans="1:60" x14ac:dyDescent="0.25">
      <c r="A63" s="308"/>
      <c r="B63" s="308"/>
      <c r="C63" s="322"/>
      <c r="D63" s="308"/>
      <c r="E63" s="308"/>
      <c r="F63" s="308"/>
      <c r="G63" s="308"/>
      <c r="H63" s="308"/>
      <c r="I63" s="308"/>
      <c r="J63" s="308"/>
      <c r="K63" s="308"/>
      <c r="L63" s="308"/>
      <c r="M63" s="308"/>
      <c r="N63" s="323"/>
      <c r="O63" s="323"/>
      <c r="P63" s="323"/>
      <c r="Q63" s="323"/>
      <c r="R63" s="323"/>
      <c r="S63" s="323"/>
      <c r="T63" s="323"/>
      <c r="U63" s="323"/>
    </row>
    <row r="64" spans="1:60" x14ac:dyDescent="0.25">
      <c r="A64" s="308"/>
      <c r="B64" s="308"/>
      <c r="C64" s="322"/>
      <c r="D64" s="308"/>
      <c r="E64" s="308"/>
      <c r="F64" s="308"/>
      <c r="G64" s="308"/>
      <c r="H64" s="308"/>
      <c r="I64" s="308"/>
      <c r="J64" s="308"/>
      <c r="K64" s="308"/>
      <c r="L64" s="308"/>
      <c r="M64" s="308"/>
      <c r="N64" s="323"/>
      <c r="O64" s="323"/>
      <c r="P64" s="323"/>
      <c r="Q64" s="323"/>
      <c r="R64" s="323"/>
      <c r="S64" s="323"/>
      <c r="T64" s="323"/>
      <c r="U64" s="323"/>
    </row>
    <row r="65" spans="1:21" x14ac:dyDescent="0.25">
      <c r="A65" s="308"/>
      <c r="B65" s="308"/>
      <c r="C65" s="322"/>
      <c r="D65" s="308"/>
      <c r="E65" s="308"/>
      <c r="F65" s="308"/>
      <c r="G65" s="308"/>
      <c r="H65" s="308"/>
      <c r="I65" s="308"/>
      <c r="J65" s="308"/>
      <c r="K65" s="308"/>
      <c r="L65" s="308"/>
      <c r="M65" s="308"/>
      <c r="N65" s="323"/>
      <c r="O65" s="323"/>
      <c r="P65" s="323"/>
      <c r="Q65" s="323"/>
      <c r="R65" s="323"/>
      <c r="S65" s="323"/>
      <c r="T65" s="323"/>
      <c r="U65" s="323"/>
    </row>
    <row r="66" spans="1:21" x14ac:dyDescent="0.25">
      <c r="A66" s="308"/>
      <c r="B66" s="308"/>
      <c r="C66" s="322"/>
      <c r="D66" s="308"/>
      <c r="E66" s="308"/>
      <c r="F66" s="308"/>
      <c r="G66" s="308"/>
      <c r="H66" s="308"/>
      <c r="I66" s="308"/>
      <c r="J66" s="308"/>
      <c r="K66" s="308"/>
      <c r="L66" s="308"/>
      <c r="M66" s="308"/>
      <c r="N66" s="323"/>
      <c r="O66" s="323"/>
      <c r="P66" s="323"/>
      <c r="Q66" s="323"/>
      <c r="R66" s="323"/>
      <c r="S66" s="323"/>
      <c r="T66" s="323"/>
      <c r="U66" s="323"/>
    </row>
    <row r="67" spans="1:21" x14ac:dyDescent="0.25">
      <c r="A67" s="308"/>
      <c r="B67" s="308"/>
      <c r="C67" s="322"/>
      <c r="D67" s="308"/>
      <c r="E67" s="308"/>
      <c r="F67" s="308"/>
      <c r="G67" s="308"/>
      <c r="H67" s="308"/>
      <c r="I67" s="308"/>
      <c r="J67" s="308"/>
      <c r="K67" s="308"/>
      <c r="L67" s="308"/>
      <c r="M67" s="308"/>
      <c r="N67" s="323"/>
      <c r="O67" s="323"/>
      <c r="P67" s="323"/>
      <c r="Q67" s="323"/>
      <c r="R67" s="323"/>
      <c r="S67" s="323"/>
      <c r="T67" s="323"/>
      <c r="U67" s="323"/>
    </row>
    <row r="68" spans="1:21" x14ac:dyDescent="0.25">
      <c r="A68" s="308"/>
      <c r="B68" s="308"/>
      <c r="C68" s="322"/>
      <c r="D68" s="308"/>
      <c r="E68" s="308"/>
      <c r="F68" s="308"/>
      <c r="G68" s="308"/>
      <c r="H68" s="308"/>
      <c r="I68" s="308"/>
      <c r="J68" s="308"/>
      <c r="K68" s="308"/>
      <c r="L68" s="308"/>
      <c r="M68" s="308"/>
      <c r="N68" s="323"/>
      <c r="O68" s="323"/>
      <c r="P68" s="323"/>
      <c r="Q68" s="323"/>
      <c r="R68" s="323"/>
      <c r="S68" s="323"/>
      <c r="T68" s="323"/>
      <c r="U68" s="323"/>
    </row>
    <row r="69" spans="1:21" x14ac:dyDescent="0.25">
      <c r="A69" s="308"/>
      <c r="B69" s="308"/>
      <c r="C69" s="322"/>
      <c r="D69" s="308"/>
      <c r="E69" s="308"/>
      <c r="F69" s="308"/>
      <c r="G69" s="308"/>
      <c r="H69" s="308"/>
      <c r="I69" s="308"/>
      <c r="J69" s="308"/>
      <c r="K69" s="308"/>
      <c r="L69" s="308"/>
      <c r="M69" s="308"/>
      <c r="N69" s="323"/>
      <c r="O69" s="323"/>
      <c r="P69" s="323"/>
      <c r="Q69" s="323"/>
      <c r="R69" s="323"/>
      <c r="S69" s="323"/>
      <c r="T69" s="323"/>
      <c r="U69" s="323"/>
    </row>
    <row r="70" spans="1:21" x14ac:dyDescent="0.25">
      <c r="A70" s="308"/>
      <c r="B70" s="308"/>
      <c r="C70" s="322"/>
      <c r="D70" s="308"/>
      <c r="E70" s="308"/>
      <c r="F70" s="308"/>
      <c r="G70" s="308"/>
      <c r="H70" s="308"/>
      <c r="I70" s="308"/>
      <c r="J70" s="308"/>
      <c r="K70" s="308"/>
      <c r="L70" s="308"/>
      <c r="M70" s="308"/>
      <c r="N70" s="323"/>
      <c r="O70" s="323"/>
      <c r="P70" s="323"/>
      <c r="Q70" s="323"/>
      <c r="R70" s="323"/>
      <c r="S70" s="323"/>
      <c r="T70" s="323"/>
      <c r="U70" s="323"/>
    </row>
    <row r="71" spans="1:21" x14ac:dyDescent="0.25">
      <c r="A71" s="308"/>
      <c r="B71" s="308"/>
      <c r="C71" s="322"/>
      <c r="D71" s="308"/>
      <c r="E71" s="308"/>
      <c r="F71" s="308"/>
      <c r="G71" s="308"/>
      <c r="H71" s="308"/>
      <c r="I71" s="308"/>
      <c r="J71" s="308"/>
      <c r="K71" s="308"/>
      <c r="L71" s="308"/>
      <c r="M71" s="308"/>
      <c r="N71" s="323"/>
      <c r="O71" s="323"/>
      <c r="P71" s="323"/>
      <c r="Q71" s="323"/>
      <c r="R71" s="323"/>
      <c r="S71" s="323"/>
      <c r="T71" s="323"/>
      <c r="U71" s="323"/>
    </row>
    <row r="72" spans="1:21" x14ac:dyDescent="0.25">
      <c r="A72" s="308"/>
      <c r="B72" s="308"/>
      <c r="C72" s="322"/>
      <c r="D72" s="308"/>
      <c r="E72" s="308"/>
      <c r="F72" s="308"/>
      <c r="G72" s="308"/>
      <c r="H72" s="308"/>
      <c r="I72" s="308"/>
      <c r="J72" s="308"/>
      <c r="K72" s="308"/>
      <c r="L72" s="308"/>
      <c r="M72" s="308"/>
      <c r="N72" s="323"/>
      <c r="O72" s="323"/>
      <c r="P72" s="323"/>
      <c r="Q72" s="323"/>
      <c r="R72" s="323"/>
      <c r="S72" s="323"/>
      <c r="T72" s="323"/>
      <c r="U72" s="323"/>
    </row>
    <row r="73" spans="1:21" x14ac:dyDescent="0.25">
      <c r="A73" s="308"/>
      <c r="B73" s="308"/>
      <c r="C73" s="322"/>
      <c r="D73" s="308"/>
      <c r="E73" s="308"/>
      <c r="F73" s="308"/>
      <c r="G73" s="308"/>
      <c r="H73" s="308"/>
      <c r="I73" s="308"/>
      <c r="J73" s="308"/>
      <c r="K73" s="308"/>
      <c r="L73" s="308"/>
      <c r="M73" s="308"/>
      <c r="N73" s="323"/>
      <c r="O73" s="323"/>
      <c r="P73" s="323"/>
      <c r="Q73" s="323"/>
      <c r="R73" s="323"/>
      <c r="S73" s="323"/>
      <c r="T73" s="323"/>
      <c r="U73" s="323"/>
    </row>
    <row r="74" spans="1:21" x14ac:dyDescent="0.25">
      <c r="A74" s="308"/>
      <c r="B74" s="308"/>
      <c r="C74" s="322"/>
      <c r="D74" s="308"/>
      <c r="E74" s="308"/>
      <c r="F74" s="308"/>
      <c r="G74" s="308"/>
      <c r="H74" s="308"/>
      <c r="I74" s="308"/>
      <c r="J74" s="308"/>
      <c r="K74" s="308"/>
      <c r="L74" s="308"/>
      <c r="M74" s="308"/>
      <c r="N74" s="323"/>
      <c r="O74" s="323"/>
      <c r="P74" s="323"/>
      <c r="Q74" s="323"/>
      <c r="R74" s="323"/>
      <c r="S74" s="323"/>
      <c r="T74" s="323"/>
      <c r="U74" s="323"/>
    </row>
    <row r="75" spans="1:21" x14ac:dyDescent="0.25">
      <c r="A75" s="308"/>
      <c r="B75" s="308"/>
      <c r="C75" s="322"/>
      <c r="D75" s="308"/>
      <c r="E75" s="308"/>
      <c r="F75" s="308"/>
      <c r="G75" s="308"/>
      <c r="H75" s="308"/>
      <c r="I75" s="308"/>
      <c r="J75" s="308"/>
      <c r="K75" s="308"/>
      <c r="L75" s="308"/>
      <c r="M75" s="308"/>
      <c r="N75" s="323"/>
      <c r="O75" s="323"/>
      <c r="P75" s="323"/>
      <c r="Q75" s="323"/>
      <c r="R75" s="323"/>
      <c r="S75" s="323"/>
      <c r="T75" s="323"/>
      <c r="U75" s="323"/>
    </row>
    <row r="76" spans="1:21" x14ac:dyDescent="0.25">
      <c r="A76" s="308"/>
      <c r="B76" s="308"/>
      <c r="C76" s="322"/>
      <c r="D76" s="308"/>
      <c r="E76" s="308"/>
      <c r="F76" s="308"/>
      <c r="G76" s="308"/>
      <c r="H76" s="308"/>
      <c r="I76" s="308"/>
      <c r="J76" s="308"/>
      <c r="K76" s="308"/>
      <c r="L76" s="308"/>
      <c r="M76" s="308"/>
      <c r="N76" s="323"/>
      <c r="O76" s="323"/>
      <c r="P76" s="323"/>
      <c r="Q76" s="323"/>
      <c r="R76" s="323"/>
      <c r="S76" s="323"/>
      <c r="T76" s="323"/>
      <c r="U76" s="323"/>
    </row>
    <row r="77" spans="1:21" x14ac:dyDescent="0.25">
      <c r="A77" s="308"/>
      <c r="B77" s="308"/>
      <c r="C77" s="322"/>
      <c r="D77" s="308"/>
      <c r="E77" s="308"/>
      <c r="F77" s="308"/>
      <c r="G77" s="308"/>
      <c r="H77" s="308"/>
      <c r="I77" s="308"/>
      <c r="J77" s="308"/>
      <c r="K77" s="308"/>
      <c r="L77" s="308"/>
      <c r="M77" s="308"/>
      <c r="N77" s="323"/>
      <c r="O77" s="323"/>
      <c r="P77" s="323"/>
      <c r="Q77" s="323"/>
      <c r="R77" s="323"/>
      <c r="S77" s="323"/>
      <c r="T77" s="323"/>
      <c r="U77" s="323"/>
    </row>
    <row r="78" spans="1:21" x14ac:dyDescent="0.25">
      <c r="A78" s="308"/>
      <c r="B78" s="308"/>
      <c r="C78" s="322"/>
      <c r="D78" s="308"/>
      <c r="E78" s="308"/>
      <c r="F78" s="308"/>
      <c r="G78" s="308"/>
      <c r="H78" s="308"/>
      <c r="I78" s="308"/>
      <c r="J78" s="308"/>
      <c r="K78" s="308"/>
      <c r="L78" s="308"/>
      <c r="M78" s="308"/>
      <c r="N78" s="323"/>
      <c r="O78" s="323"/>
      <c r="P78" s="323"/>
      <c r="Q78" s="323"/>
      <c r="R78" s="323"/>
      <c r="S78" s="323"/>
      <c r="T78" s="323"/>
      <c r="U78" s="323"/>
    </row>
    <row r="79" spans="1:21" x14ac:dyDescent="0.25">
      <c r="A79" s="308"/>
      <c r="B79" s="308"/>
      <c r="C79" s="322"/>
      <c r="D79" s="308"/>
      <c r="E79" s="308"/>
      <c r="F79" s="308"/>
      <c r="G79" s="308"/>
      <c r="H79" s="308"/>
      <c r="I79" s="308"/>
      <c r="J79" s="308"/>
      <c r="K79" s="308"/>
      <c r="L79" s="308"/>
      <c r="M79" s="308"/>
      <c r="N79" s="323"/>
      <c r="O79" s="323"/>
      <c r="P79" s="323"/>
      <c r="Q79" s="323"/>
      <c r="R79" s="323"/>
      <c r="S79" s="323"/>
      <c r="T79" s="323"/>
      <c r="U79" s="323"/>
    </row>
    <row r="80" spans="1:21" x14ac:dyDescent="0.25">
      <c r="A80" s="308"/>
      <c r="B80" s="308"/>
      <c r="C80" s="322"/>
      <c r="D80" s="308"/>
      <c r="E80" s="308"/>
      <c r="F80" s="308"/>
      <c r="G80" s="308"/>
      <c r="H80" s="308"/>
      <c r="I80" s="308"/>
      <c r="J80" s="308"/>
      <c r="K80" s="308"/>
      <c r="L80" s="308"/>
      <c r="M80" s="308"/>
      <c r="N80" s="323"/>
      <c r="O80" s="323"/>
      <c r="P80" s="323"/>
      <c r="Q80" s="323"/>
      <c r="R80" s="323"/>
      <c r="S80" s="323"/>
      <c r="T80" s="323"/>
      <c r="U80" s="323"/>
    </row>
    <row r="81" spans="1:21" x14ac:dyDescent="0.25">
      <c r="A81" s="308"/>
      <c r="B81" s="308"/>
      <c r="C81" s="322"/>
      <c r="D81" s="308"/>
      <c r="E81" s="308"/>
      <c r="F81" s="308"/>
      <c r="G81" s="308"/>
      <c r="H81" s="308"/>
      <c r="I81" s="308"/>
      <c r="J81" s="308"/>
      <c r="K81" s="308"/>
      <c r="L81" s="308"/>
      <c r="M81" s="308"/>
      <c r="N81" s="323"/>
      <c r="O81" s="323"/>
      <c r="P81" s="323"/>
      <c r="Q81" s="323"/>
      <c r="R81" s="323"/>
      <c r="S81" s="323"/>
      <c r="T81" s="323"/>
      <c r="U81" s="323"/>
    </row>
    <row r="82" spans="1:21" x14ac:dyDescent="0.25">
      <c r="A82" s="308"/>
      <c r="B82" s="308"/>
      <c r="C82" s="322"/>
      <c r="D82" s="308"/>
      <c r="E82" s="308"/>
      <c r="F82" s="308"/>
      <c r="G82" s="308"/>
      <c r="H82" s="308"/>
      <c r="I82" s="308"/>
      <c r="J82" s="308"/>
      <c r="K82" s="308"/>
      <c r="L82" s="308"/>
      <c r="M82" s="308"/>
      <c r="N82" s="323"/>
      <c r="O82" s="323"/>
      <c r="P82" s="323"/>
      <c r="Q82" s="323"/>
      <c r="R82" s="323"/>
      <c r="S82" s="323"/>
      <c r="T82" s="323"/>
      <c r="U82" s="323"/>
    </row>
    <row r="83" spans="1:21" x14ac:dyDescent="0.25">
      <c r="A83" s="308"/>
      <c r="B83" s="308"/>
      <c r="C83" s="322"/>
      <c r="D83" s="308"/>
      <c r="E83" s="308"/>
      <c r="F83" s="308"/>
      <c r="G83" s="308"/>
      <c r="H83" s="308"/>
      <c r="I83" s="308"/>
      <c r="J83" s="308"/>
      <c r="K83" s="308"/>
      <c r="L83" s="308"/>
      <c r="M83" s="308"/>
      <c r="N83" s="323"/>
      <c r="O83" s="323"/>
      <c r="P83" s="323"/>
      <c r="Q83" s="323"/>
      <c r="R83" s="323"/>
      <c r="S83" s="323"/>
      <c r="T83" s="323"/>
      <c r="U83" s="323"/>
    </row>
    <row r="84" spans="1:21" x14ac:dyDescent="0.25">
      <c r="A84" s="308"/>
      <c r="B84" s="308"/>
      <c r="C84" s="322"/>
      <c r="D84" s="308"/>
      <c r="E84" s="308"/>
      <c r="F84" s="308"/>
      <c r="G84" s="308"/>
      <c r="H84" s="308"/>
      <c r="I84" s="308"/>
      <c r="J84" s="308"/>
      <c r="K84" s="308"/>
      <c r="L84" s="308"/>
      <c r="M84" s="308"/>
      <c r="N84" s="323"/>
      <c r="O84" s="323"/>
      <c r="P84" s="323"/>
      <c r="Q84" s="323"/>
      <c r="R84" s="323"/>
      <c r="S84" s="323"/>
      <c r="T84" s="323"/>
      <c r="U84" s="323"/>
    </row>
    <row r="85" spans="1:21" x14ac:dyDescent="0.25">
      <c r="A85" s="308"/>
      <c r="B85" s="308"/>
      <c r="C85" s="322"/>
      <c r="D85" s="308"/>
      <c r="E85" s="308"/>
      <c r="F85" s="308"/>
      <c r="G85" s="308"/>
      <c r="H85" s="308"/>
      <c r="I85" s="308"/>
      <c r="J85" s="308"/>
      <c r="K85" s="308"/>
      <c r="L85" s="308"/>
      <c r="M85" s="308"/>
      <c r="N85" s="323"/>
      <c r="O85" s="323"/>
      <c r="P85" s="323"/>
      <c r="Q85" s="323"/>
      <c r="R85" s="323"/>
      <c r="S85" s="323"/>
      <c r="T85" s="323"/>
      <c r="U85" s="323"/>
    </row>
    <row r="86" spans="1:21" x14ac:dyDescent="0.25">
      <c r="A86" s="308"/>
      <c r="B86" s="308"/>
      <c r="C86" s="322"/>
      <c r="D86" s="308"/>
      <c r="E86" s="308"/>
      <c r="F86" s="308"/>
      <c r="G86" s="308"/>
      <c r="H86" s="308"/>
      <c r="I86" s="308"/>
      <c r="J86" s="308"/>
      <c r="K86" s="308"/>
      <c r="L86" s="308"/>
      <c r="M86" s="308"/>
      <c r="N86" s="323"/>
      <c r="O86" s="323"/>
      <c r="P86" s="323"/>
      <c r="Q86" s="323"/>
      <c r="R86" s="323"/>
      <c r="S86" s="323"/>
      <c r="T86" s="323"/>
      <c r="U86" s="323"/>
    </row>
    <row r="87" spans="1:21" x14ac:dyDescent="0.25">
      <c r="A87" s="308"/>
      <c r="B87" s="308"/>
      <c r="C87" s="322"/>
      <c r="D87" s="308"/>
      <c r="E87" s="308"/>
      <c r="F87" s="308"/>
      <c r="G87" s="308"/>
      <c r="H87" s="308"/>
      <c r="I87" s="308"/>
      <c r="J87" s="308"/>
      <c r="K87" s="308"/>
      <c r="L87" s="308"/>
      <c r="M87" s="308"/>
      <c r="N87" s="323"/>
      <c r="O87" s="323"/>
      <c r="P87" s="323"/>
      <c r="Q87" s="323"/>
      <c r="R87" s="323"/>
      <c r="S87" s="323"/>
      <c r="T87" s="323"/>
      <c r="U87" s="323"/>
    </row>
    <row r="88" spans="1:21" x14ac:dyDescent="0.25">
      <c r="A88" s="308"/>
      <c r="B88" s="308"/>
      <c r="C88" s="322"/>
      <c r="D88" s="308"/>
      <c r="E88" s="308"/>
      <c r="F88" s="308"/>
      <c r="G88" s="308"/>
      <c r="H88" s="308"/>
      <c r="I88" s="308"/>
      <c r="J88" s="308"/>
      <c r="K88" s="308"/>
      <c r="L88" s="308"/>
      <c r="M88" s="308"/>
      <c r="N88" s="323"/>
      <c r="O88" s="323"/>
      <c r="P88" s="323"/>
      <c r="Q88" s="323"/>
      <c r="R88" s="323"/>
      <c r="S88" s="323"/>
      <c r="T88" s="323"/>
      <c r="U88" s="323"/>
    </row>
    <row r="89" spans="1:21" x14ac:dyDescent="0.25">
      <c r="A89" s="308"/>
      <c r="B89" s="308"/>
      <c r="C89" s="322"/>
      <c r="D89" s="308"/>
      <c r="E89" s="308"/>
      <c r="F89" s="308"/>
      <c r="G89" s="308"/>
      <c r="H89" s="308"/>
      <c r="I89" s="308"/>
      <c r="J89" s="308"/>
      <c r="K89" s="308"/>
      <c r="L89" s="308"/>
      <c r="M89" s="308"/>
      <c r="N89" s="323"/>
      <c r="O89" s="323"/>
      <c r="P89" s="323"/>
      <c r="Q89" s="323"/>
      <c r="R89" s="323"/>
      <c r="S89" s="323"/>
      <c r="T89" s="323"/>
      <c r="U89" s="323"/>
    </row>
    <row r="90" spans="1:21" x14ac:dyDescent="0.25">
      <c r="A90" s="308"/>
      <c r="B90" s="308"/>
      <c r="C90" s="322"/>
      <c r="D90" s="308"/>
      <c r="E90" s="308"/>
      <c r="F90" s="308"/>
      <c r="G90" s="308"/>
      <c r="H90" s="308"/>
      <c r="I90" s="308"/>
      <c r="J90" s="308"/>
      <c r="K90" s="308"/>
      <c r="L90" s="308"/>
      <c r="M90" s="308"/>
      <c r="N90" s="323"/>
      <c r="O90" s="323"/>
      <c r="P90" s="323"/>
      <c r="Q90" s="323"/>
      <c r="R90" s="323"/>
      <c r="S90" s="323"/>
      <c r="T90" s="323"/>
      <c r="U90" s="323"/>
    </row>
    <row r="91" spans="1:21" x14ac:dyDescent="0.25">
      <c r="A91" s="308"/>
      <c r="B91" s="308"/>
      <c r="C91" s="322"/>
      <c r="D91" s="308"/>
      <c r="E91" s="308"/>
      <c r="F91" s="308"/>
      <c r="G91" s="308"/>
      <c r="H91" s="308"/>
      <c r="I91" s="308"/>
      <c r="J91" s="308"/>
      <c r="K91" s="308"/>
      <c r="L91" s="308"/>
      <c r="M91" s="308"/>
      <c r="N91" s="323"/>
      <c r="O91" s="323"/>
      <c r="P91" s="323"/>
      <c r="Q91" s="323"/>
      <c r="R91" s="323"/>
      <c r="S91" s="323"/>
      <c r="T91" s="323"/>
      <c r="U91" s="323"/>
    </row>
    <row r="92" spans="1:21" x14ac:dyDescent="0.25">
      <c r="A92" s="308"/>
      <c r="B92" s="308"/>
      <c r="C92" s="322"/>
      <c r="D92" s="308"/>
      <c r="E92" s="308"/>
      <c r="F92" s="308"/>
      <c r="G92" s="308"/>
      <c r="H92" s="308"/>
      <c r="I92" s="308"/>
      <c r="J92" s="308"/>
      <c r="K92" s="308"/>
      <c r="L92" s="308"/>
      <c r="M92" s="308"/>
      <c r="N92" s="323"/>
      <c r="O92" s="323"/>
      <c r="P92" s="323"/>
      <c r="Q92" s="323"/>
      <c r="R92" s="323"/>
      <c r="S92" s="323"/>
      <c r="T92" s="323"/>
      <c r="U92" s="323"/>
    </row>
    <row r="93" spans="1:21" x14ac:dyDescent="0.25">
      <c r="A93" s="308"/>
      <c r="B93" s="308"/>
      <c r="C93" s="322"/>
      <c r="D93" s="308"/>
      <c r="E93" s="308"/>
      <c r="F93" s="308"/>
      <c r="G93" s="308"/>
      <c r="H93" s="308"/>
      <c r="I93" s="308"/>
      <c r="J93" s="308"/>
      <c r="K93" s="308"/>
      <c r="L93" s="308"/>
      <c r="M93" s="308"/>
      <c r="N93" s="323"/>
      <c r="O93" s="323"/>
      <c r="P93" s="323"/>
      <c r="Q93" s="323"/>
      <c r="R93" s="323"/>
      <c r="S93" s="323"/>
      <c r="T93" s="323"/>
      <c r="U93" s="323"/>
    </row>
    <row r="94" spans="1:21" x14ac:dyDescent="0.25">
      <c r="A94" s="308"/>
      <c r="B94" s="308"/>
      <c r="C94" s="322"/>
      <c r="D94" s="308"/>
      <c r="E94" s="308"/>
      <c r="F94" s="308"/>
      <c r="G94" s="308"/>
      <c r="H94" s="308"/>
      <c r="I94" s="308"/>
      <c r="J94" s="308"/>
      <c r="K94" s="308"/>
      <c r="L94" s="308"/>
      <c r="M94" s="308"/>
      <c r="N94" s="323"/>
      <c r="O94" s="323"/>
      <c r="P94" s="323"/>
      <c r="Q94" s="323"/>
      <c r="R94" s="323"/>
      <c r="S94" s="323"/>
      <c r="T94" s="323"/>
      <c r="U94" s="323"/>
    </row>
    <row r="95" spans="1:21" x14ac:dyDescent="0.25">
      <c r="A95" s="308"/>
      <c r="B95" s="308"/>
      <c r="C95" s="322"/>
      <c r="D95" s="308"/>
      <c r="E95" s="308"/>
      <c r="F95" s="308"/>
      <c r="G95" s="308"/>
      <c r="H95" s="308"/>
      <c r="I95" s="308"/>
      <c r="J95" s="308"/>
      <c r="K95" s="308"/>
      <c r="L95" s="308"/>
      <c r="M95" s="308"/>
      <c r="N95" s="323"/>
      <c r="O95" s="323"/>
      <c r="P95" s="323"/>
      <c r="Q95" s="323"/>
      <c r="R95" s="323"/>
      <c r="S95" s="323"/>
      <c r="T95" s="323"/>
      <c r="U95" s="323"/>
    </row>
    <row r="96" spans="1:21" x14ac:dyDescent="0.25">
      <c r="A96" s="308"/>
      <c r="B96" s="308"/>
      <c r="C96" s="322"/>
      <c r="D96" s="308"/>
      <c r="E96" s="308"/>
      <c r="F96" s="308"/>
      <c r="G96" s="308"/>
      <c r="H96" s="308"/>
      <c r="I96" s="308"/>
      <c r="J96" s="308"/>
      <c r="K96" s="308"/>
      <c r="L96" s="308"/>
      <c r="M96" s="308"/>
      <c r="N96" s="323"/>
      <c r="O96" s="323"/>
      <c r="P96" s="323"/>
      <c r="Q96" s="323"/>
      <c r="R96" s="323"/>
      <c r="S96" s="323"/>
      <c r="T96" s="323"/>
      <c r="U96" s="323"/>
    </row>
    <row r="97" spans="1:21" x14ac:dyDescent="0.25">
      <c r="A97" s="308"/>
      <c r="B97" s="308"/>
      <c r="C97" s="322"/>
      <c r="D97" s="308"/>
      <c r="E97" s="308"/>
      <c r="F97" s="308"/>
      <c r="G97" s="308"/>
      <c r="H97" s="308"/>
      <c r="I97" s="308"/>
      <c r="J97" s="308"/>
      <c r="K97" s="308"/>
      <c r="L97" s="308"/>
      <c r="M97" s="308"/>
      <c r="N97" s="323"/>
      <c r="O97" s="323"/>
      <c r="P97" s="323"/>
      <c r="Q97" s="323"/>
      <c r="R97" s="323"/>
      <c r="S97" s="323"/>
      <c r="T97" s="323"/>
      <c r="U97" s="323"/>
    </row>
    <row r="98" spans="1:21" x14ac:dyDescent="0.25">
      <c r="A98" s="308"/>
      <c r="B98" s="308"/>
      <c r="C98" s="322"/>
      <c r="D98" s="308"/>
      <c r="E98" s="308"/>
      <c r="F98" s="308"/>
      <c r="G98" s="308"/>
      <c r="H98" s="308"/>
      <c r="I98" s="308"/>
      <c r="J98" s="308"/>
      <c r="K98" s="308"/>
      <c r="L98" s="308"/>
      <c r="M98" s="308"/>
      <c r="N98" s="323"/>
      <c r="O98" s="323"/>
      <c r="P98" s="323"/>
      <c r="Q98" s="323"/>
      <c r="R98" s="323"/>
      <c r="S98" s="323"/>
      <c r="T98" s="323"/>
      <c r="U98" s="323"/>
    </row>
    <row r="99" spans="1:21" x14ac:dyDescent="0.25">
      <c r="A99" s="308"/>
      <c r="B99" s="308"/>
      <c r="C99" s="322"/>
      <c r="D99" s="308"/>
      <c r="E99" s="308"/>
      <c r="F99" s="308"/>
      <c r="G99" s="308"/>
      <c r="H99" s="308"/>
      <c r="I99" s="308"/>
      <c r="J99" s="308"/>
      <c r="K99" s="308"/>
      <c r="L99" s="308"/>
      <c r="M99" s="308"/>
      <c r="N99" s="323"/>
      <c r="O99" s="323"/>
      <c r="P99" s="323"/>
      <c r="Q99" s="323"/>
      <c r="R99" s="323"/>
      <c r="S99" s="323"/>
      <c r="T99" s="323"/>
      <c r="U99" s="323"/>
    </row>
    <row r="100" spans="1:21" x14ac:dyDescent="0.25">
      <c r="A100" s="308"/>
      <c r="B100" s="308"/>
      <c r="C100" s="322"/>
      <c r="D100" s="308"/>
      <c r="E100" s="308"/>
      <c r="F100" s="308"/>
      <c r="G100" s="308"/>
      <c r="H100" s="308"/>
      <c r="I100" s="308"/>
      <c r="J100" s="308"/>
      <c r="K100" s="308"/>
      <c r="L100" s="308"/>
      <c r="M100" s="308"/>
      <c r="N100" s="323"/>
      <c r="O100" s="323"/>
      <c r="P100" s="323"/>
      <c r="Q100" s="323"/>
      <c r="R100" s="323"/>
      <c r="S100" s="323"/>
      <c r="T100" s="323"/>
      <c r="U100" s="323"/>
    </row>
    <row r="101" spans="1:21" x14ac:dyDescent="0.25">
      <c r="A101" s="308"/>
      <c r="B101" s="308"/>
      <c r="C101" s="322"/>
      <c r="D101" s="308"/>
      <c r="E101" s="308"/>
      <c r="F101" s="308"/>
      <c r="G101" s="308"/>
      <c r="H101" s="308"/>
      <c r="I101" s="308"/>
      <c r="J101" s="308"/>
      <c r="K101" s="308"/>
      <c r="L101" s="308"/>
      <c r="M101" s="308"/>
      <c r="N101" s="323"/>
      <c r="O101" s="323"/>
      <c r="P101" s="323"/>
      <c r="Q101" s="323"/>
      <c r="R101" s="323"/>
      <c r="S101" s="323"/>
      <c r="T101" s="323"/>
      <c r="U101" s="323"/>
    </row>
    <row r="102" spans="1:21" x14ac:dyDescent="0.25">
      <c r="A102" s="308"/>
      <c r="B102" s="308"/>
      <c r="C102" s="322"/>
      <c r="D102" s="308"/>
      <c r="E102" s="308"/>
      <c r="F102" s="308"/>
      <c r="G102" s="308"/>
      <c r="H102" s="308"/>
      <c r="I102" s="308"/>
      <c r="J102" s="308"/>
      <c r="K102" s="308"/>
      <c r="L102" s="308"/>
      <c r="M102" s="308"/>
      <c r="N102" s="323"/>
      <c r="O102" s="323"/>
      <c r="P102" s="323"/>
      <c r="Q102" s="323"/>
      <c r="R102" s="323"/>
      <c r="S102" s="323"/>
      <c r="T102" s="323"/>
      <c r="U102" s="323"/>
    </row>
    <row r="103" spans="1:21" x14ac:dyDescent="0.25">
      <c r="A103" s="308"/>
      <c r="B103" s="308"/>
      <c r="C103" s="322"/>
      <c r="D103" s="308"/>
      <c r="E103" s="308"/>
      <c r="F103" s="308"/>
      <c r="G103" s="308"/>
      <c r="H103" s="308"/>
      <c r="I103" s="308"/>
      <c r="J103" s="308"/>
      <c r="K103" s="308"/>
      <c r="L103" s="308"/>
      <c r="M103" s="308"/>
      <c r="N103" s="323"/>
      <c r="O103" s="323"/>
      <c r="P103" s="323"/>
      <c r="Q103" s="323"/>
      <c r="R103" s="323"/>
      <c r="S103" s="323"/>
      <c r="T103" s="323"/>
      <c r="U103" s="323"/>
    </row>
    <row r="104" spans="1:21" x14ac:dyDescent="0.25">
      <c r="A104" s="308"/>
      <c r="B104" s="308"/>
      <c r="C104" s="322"/>
      <c r="D104" s="308"/>
      <c r="E104" s="308"/>
      <c r="F104" s="308"/>
      <c r="G104" s="308"/>
      <c r="H104" s="308"/>
      <c r="I104" s="308"/>
      <c r="J104" s="308"/>
      <c r="K104" s="308"/>
      <c r="L104" s="308"/>
      <c r="M104" s="308"/>
      <c r="N104" s="323"/>
      <c r="O104" s="323"/>
      <c r="P104" s="323"/>
      <c r="Q104" s="323"/>
      <c r="R104" s="323"/>
      <c r="S104" s="323"/>
      <c r="T104" s="323"/>
      <c r="U104" s="323"/>
    </row>
    <row r="105" spans="1:21" x14ac:dyDescent="0.25">
      <c r="A105" s="308"/>
      <c r="B105" s="308"/>
      <c r="C105" s="322"/>
      <c r="D105" s="308"/>
      <c r="E105" s="308"/>
      <c r="F105" s="308"/>
      <c r="G105" s="308"/>
      <c r="H105" s="308"/>
      <c r="I105" s="308"/>
      <c r="J105" s="308"/>
      <c r="K105" s="308"/>
      <c r="L105" s="308"/>
      <c r="M105" s="308"/>
      <c r="N105" s="323"/>
      <c r="O105" s="323"/>
      <c r="P105" s="323"/>
      <c r="Q105" s="323"/>
      <c r="R105" s="323"/>
      <c r="S105" s="323"/>
      <c r="T105" s="323"/>
      <c r="U105" s="323"/>
    </row>
    <row r="106" spans="1:21" x14ac:dyDescent="0.25">
      <c r="A106" s="308"/>
      <c r="B106" s="308"/>
      <c r="C106" s="322"/>
      <c r="D106" s="308"/>
      <c r="E106" s="308"/>
      <c r="F106" s="308"/>
      <c r="G106" s="308"/>
      <c r="H106" s="308"/>
      <c r="I106" s="308"/>
      <c r="J106" s="308"/>
      <c r="K106" s="308"/>
      <c r="L106" s="308"/>
      <c r="M106" s="308"/>
      <c r="N106" s="323"/>
      <c r="O106" s="323"/>
      <c r="P106" s="323"/>
      <c r="Q106" s="323"/>
      <c r="R106" s="323"/>
      <c r="S106" s="323"/>
      <c r="T106" s="323"/>
      <c r="U106" s="323"/>
    </row>
    <row r="107" spans="1:21" x14ac:dyDescent="0.25">
      <c r="A107" s="308"/>
      <c r="B107" s="308"/>
      <c r="C107" s="322"/>
      <c r="D107" s="308"/>
      <c r="E107" s="308"/>
      <c r="F107" s="308"/>
      <c r="G107" s="308"/>
      <c r="H107" s="308"/>
      <c r="I107" s="308"/>
      <c r="J107" s="308"/>
      <c r="K107" s="308"/>
      <c r="L107" s="308"/>
      <c r="M107" s="308"/>
      <c r="N107" s="323"/>
      <c r="O107" s="323"/>
      <c r="P107" s="323"/>
      <c r="Q107" s="323"/>
      <c r="R107" s="323"/>
      <c r="S107" s="323"/>
      <c r="T107" s="323"/>
      <c r="U107" s="323"/>
    </row>
    <row r="108" spans="1:21" x14ac:dyDescent="0.25">
      <c r="A108" s="308"/>
      <c r="B108" s="308"/>
      <c r="C108" s="322"/>
      <c r="D108" s="308"/>
      <c r="E108" s="308"/>
      <c r="F108" s="308"/>
      <c r="G108" s="308"/>
      <c r="H108" s="308"/>
      <c r="I108" s="308"/>
      <c r="J108" s="308"/>
      <c r="K108" s="308"/>
      <c r="L108" s="308"/>
      <c r="M108" s="308"/>
      <c r="N108" s="323"/>
      <c r="O108" s="323"/>
      <c r="P108" s="323"/>
      <c r="Q108" s="323"/>
      <c r="R108" s="323"/>
      <c r="S108" s="323"/>
      <c r="T108" s="323"/>
      <c r="U108" s="323"/>
    </row>
    <row r="109" spans="1:21" x14ac:dyDescent="0.25">
      <c r="A109" s="308"/>
      <c r="B109" s="308"/>
      <c r="C109" s="322"/>
      <c r="D109" s="308"/>
      <c r="E109" s="308"/>
      <c r="F109" s="308"/>
      <c r="G109" s="308"/>
      <c r="H109" s="308"/>
      <c r="I109" s="308"/>
      <c r="J109" s="308"/>
      <c r="K109" s="308"/>
      <c r="L109" s="308"/>
      <c r="M109" s="308"/>
      <c r="N109" s="323"/>
      <c r="O109" s="323"/>
      <c r="P109" s="323"/>
      <c r="Q109" s="323"/>
      <c r="R109" s="323"/>
      <c r="S109" s="323"/>
      <c r="T109" s="323"/>
      <c r="U109" s="323"/>
    </row>
    <row r="110" spans="1:21" x14ac:dyDescent="0.25">
      <c r="A110" s="308"/>
      <c r="B110" s="308"/>
      <c r="C110" s="322"/>
      <c r="D110" s="308"/>
      <c r="E110" s="308"/>
      <c r="F110" s="308"/>
      <c r="G110" s="308"/>
      <c r="H110" s="308"/>
      <c r="I110" s="308"/>
      <c r="J110" s="308"/>
      <c r="K110" s="308"/>
      <c r="L110" s="308"/>
      <c r="M110" s="308"/>
      <c r="N110" s="323"/>
      <c r="O110" s="323"/>
      <c r="P110" s="323"/>
      <c r="Q110" s="323"/>
      <c r="R110" s="323"/>
      <c r="S110" s="323"/>
      <c r="T110" s="323"/>
      <c r="U110" s="323"/>
    </row>
    <row r="111" spans="1:21" x14ac:dyDescent="0.25">
      <c r="A111" s="308"/>
      <c r="B111" s="308"/>
      <c r="C111" s="322"/>
      <c r="D111" s="308"/>
      <c r="E111" s="308"/>
      <c r="F111" s="308"/>
      <c r="G111" s="308"/>
      <c r="H111" s="308"/>
      <c r="I111" s="308"/>
      <c r="J111" s="308"/>
      <c r="K111" s="308"/>
      <c r="L111" s="308"/>
      <c r="M111" s="308"/>
      <c r="N111" s="323"/>
      <c r="O111" s="323"/>
      <c r="P111" s="323"/>
      <c r="Q111" s="323"/>
      <c r="R111" s="323"/>
      <c r="S111" s="323"/>
      <c r="T111" s="323"/>
      <c r="U111" s="323"/>
    </row>
    <row r="112" spans="1:21" x14ac:dyDescent="0.25">
      <c r="A112" s="308"/>
      <c r="B112" s="308"/>
      <c r="C112" s="322"/>
      <c r="D112" s="308"/>
      <c r="E112" s="308"/>
      <c r="F112" s="308"/>
      <c r="G112" s="308"/>
      <c r="H112" s="308"/>
      <c r="I112" s="308"/>
      <c r="J112" s="308"/>
      <c r="K112" s="308"/>
      <c r="L112" s="308"/>
      <c r="M112" s="308"/>
      <c r="N112" s="323"/>
      <c r="O112" s="323"/>
      <c r="P112" s="323"/>
      <c r="Q112" s="323"/>
      <c r="R112" s="323"/>
      <c r="S112" s="323"/>
      <c r="T112" s="323"/>
      <c r="U112" s="323"/>
    </row>
    <row r="113" spans="1:21" x14ac:dyDescent="0.25">
      <c r="A113" s="308"/>
      <c r="B113" s="308"/>
      <c r="C113" s="322"/>
      <c r="D113" s="308"/>
      <c r="E113" s="308"/>
      <c r="F113" s="308"/>
      <c r="G113" s="308"/>
      <c r="H113" s="308"/>
      <c r="I113" s="308"/>
      <c r="J113" s="308"/>
      <c r="K113" s="308"/>
      <c r="L113" s="308"/>
      <c r="M113" s="308"/>
      <c r="N113" s="323"/>
      <c r="O113" s="323"/>
      <c r="P113" s="323"/>
      <c r="Q113" s="323"/>
      <c r="R113" s="323"/>
      <c r="S113" s="323"/>
      <c r="T113" s="323"/>
      <c r="U113" s="323"/>
    </row>
    <row r="114" spans="1:21" x14ac:dyDescent="0.25">
      <c r="A114" s="308"/>
      <c r="B114" s="308"/>
      <c r="C114" s="322"/>
      <c r="D114" s="308"/>
      <c r="E114" s="308"/>
      <c r="F114" s="308"/>
      <c r="G114" s="308"/>
      <c r="H114" s="308"/>
      <c r="I114" s="308"/>
      <c r="J114" s="308"/>
      <c r="K114" s="308"/>
      <c r="L114" s="308"/>
      <c r="M114" s="308"/>
      <c r="N114" s="323"/>
      <c r="O114" s="323"/>
      <c r="P114" s="323"/>
      <c r="Q114" s="323"/>
      <c r="R114" s="323"/>
      <c r="S114" s="323"/>
      <c r="T114" s="323"/>
      <c r="U114" s="323"/>
    </row>
    <row r="115" spans="1:21" x14ac:dyDescent="0.25">
      <c r="A115" s="308"/>
      <c r="B115" s="308"/>
      <c r="C115" s="322"/>
      <c r="D115" s="308"/>
      <c r="E115" s="308"/>
      <c r="F115" s="308"/>
      <c r="G115" s="308"/>
      <c r="H115" s="308"/>
      <c r="I115" s="308"/>
      <c r="J115" s="308"/>
      <c r="K115" s="308"/>
      <c r="L115" s="308"/>
      <c r="M115" s="308"/>
      <c r="N115" s="323"/>
      <c r="O115" s="323"/>
      <c r="P115" s="323"/>
      <c r="Q115" s="323"/>
      <c r="R115" s="323"/>
      <c r="S115" s="323"/>
      <c r="T115" s="323"/>
      <c r="U115" s="323"/>
    </row>
    <row r="116" spans="1:21" x14ac:dyDescent="0.25">
      <c r="A116" s="308"/>
      <c r="B116" s="308"/>
      <c r="C116" s="322"/>
      <c r="D116" s="308"/>
      <c r="E116" s="308"/>
      <c r="F116" s="308"/>
      <c r="G116" s="308"/>
      <c r="H116" s="308"/>
      <c r="I116" s="308"/>
      <c r="J116" s="308"/>
      <c r="K116" s="308"/>
      <c r="L116" s="308"/>
      <c r="M116" s="308"/>
      <c r="N116" s="323"/>
      <c r="O116" s="323"/>
      <c r="P116" s="323"/>
      <c r="Q116" s="323"/>
      <c r="R116" s="323"/>
      <c r="S116" s="323"/>
      <c r="T116" s="323"/>
      <c r="U116" s="323"/>
    </row>
    <row r="117" spans="1:21" x14ac:dyDescent="0.25">
      <c r="A117" s="308"/>
      <c r="B117" s="308"/>
      <c r="C117" s="322"/>
      <c r="D117" s="308"/>
      <c r="E117" s="308"/>
      <c r="F117" s="308"/>
      <c r="G117" s="308"/>
      <c r="H117" s="308"/>
      <c r="I117" s="308"/>
      <c r="J117" s="308"/>
      <c r="K117" s="308"/>
      <c r="L117" s="308"/>
      <c r="M117" s="308"/>
      <c r="N117" s="323"/>
      <c r="O117" s="323"/>
      <c r="P117" s="323"/>
      <c r="Q117" s="323"/>
      <c r="R117" s="323"/>
      <c r="S117" s="323"/>
      <c r="T117" s="323"/>
      <c r="U117" s="323"/>
    </row>
    <row r="118" spans="1:21" x14ac:dyDescent="0.25">
      <c r="A118" s="308"/>
      <c r="B118" s="308"/>
      <c r="C118" s="322"/>
      <c r="D118" s="308"/>
      <c r="E118" s="308"/>
      <c r="F118" s="308"/>
      <c r="G118" s="308"/>
      <c r="H118" s="308"/>
      <c r="I118" s="308"/>
      <c r="J118" s="308"/>
      <c r="K118" s="308"/>
      <c r="L118" s="308"/>
      <c r="M118" s="308"/>
      <c r="N118" s="323"/>
      <c r="O118" s="323"/>
      <c r="P118" s="323"/>
      <c r="Q118" s="323"/>
      <c r="R118" s="323"/>
      <c r="S118" s="323"/>
      <c r="T118" s="323"/>
      <c r="U118" s="323"/>
    </row>
    <row r="119" spans="1:21" x14ac:dyDescent="0.25">
      <c r="A119" s="308"/>
      <c r="B119" s="308"/>
      <c r="C119" s="322"/>
      <c r="D119" s="308"/>
      <c r="E119" s="308"/>
      <c r="F119" s="308"/>
      <c r="G119" s="308"/>
      <c r="H119" s="308"/>
      <c r="I119" s="308"/>
      <c r="J119" s="308"/>
      <c r="K119" s="308"/>
      <c r="L119" s="308"/>
      <c r="M119" s="308"/>
      <c r="N119" s="323"/>
      <c r="O119" s="323"/>
      <c r="P119" s="323"/>
      <c r="Q119" s="323"/>
      <c r="R119" s="323"/>
      <c r="S119" s="323"/>
      <c r="T119" s="323"/>
      <c r="U119" s="323"/>
    </row>
    <row r="120" spans="1:21" x14ac:dyDescent="0.25">
      <c r="A120" s="308"/>
      <c r="B120" s="308"/>
      <c r="C120" s="322"/>
      <c r="D120" s="308"/>
      <c r="E120" s="308"/>
      <c r="F120" s="308"/>
      <c r="G120" s="308"/>
      <c r="H120" s="308"/>
      <c r="I120" s="308"/>
      <c r="J120" s="308"/>
      <c r="K120" s="308"/>
      <c r="L120" s="308"/>
      <c r="M120" s="308"/>
      <c r="N120" s="323"/>
      <c r="O120" s="323"/>
      <c r="P120" s="323"/>
      <c r="Q120" s="323"/>
      <c r="R120" s="323"/>
      <c r="S120" s="323"/>
      <c r="T120" s="323"/>
      <c r="U120" s="323"/>
    </row>
    <row r="121" spans="1:21" x14ac:dyDescent="0.25">
      <c r="A121" s="308"/>
      <c r="B121" s="308"/>
      <c r="C121" s="322"/>
      <c r="D121" s="308"/>
      <c r="E121" s="308"/>
      <c r="F121" s="308"/>
      <c r="G121" s="308"/>
      <c r="H121" s="308"/>
      <c r="I121" s="308"/>
      <c r="J121" s="308"/>
      <c r="K121" s="308"/>
      <c r="L121" s="308"/>
      <c r="M121" s="308"/>
      <c r="N121" s="323"/>
      <c r="O121" s="323"/>
      <c r="P121" s="323"/>
      <c r="Q121" s="323"/>
      <c r="R121" s="323"/>
      <c r="S121" s="323"/>
      <c r="T121" s="323"/>
      <c r="U121" s="323"/>
    </row>
    <row r="122" spans="1:21" x14ac:dyDescent="0.25">
      <c r="A122" s="308"/>
      <c r="B122" s="308"/>
      <c r="C122" s="322"/>
      <c r="D122" s="308"/>
      <c r="E122" s="308"/>
      <c r="F122" s="308"/>
      <c r="G122" s="308"/>
      <c r="H122" s="308"/>
      <c r="I122" s="308"/>
      <c r="J122" s="308"/>
      <c r="K122" s="308"/>
      <c r="L122" s="308"/>
      <c r="M122" s="308"/>
      <c r="N122" s="323"/>
      <c r="O122" s="323"/>
      <c r="P122" s="323"/>
      <c r="Q122" s="323"/>
      <c r="R122" s="323"/>
      <c r="S122" s="323"/>
      <c r="T122" s="323"/>
      <c r="U122" s="323"/>
    </row>
    <row r="123" spans="1:21" x14ac:dyDescent="0.25">
      <c r="A123" s="308"/>
      <c r="B123" s="308"/>
      <c r="C123" s="322"/>
      <c r="D123" s="308"/>
      <c r="E123" s="308"/>
      <c r="F123" s="308"/>
      <c r="G123" s="308"/>
      <c r="H123" s="308"/>
      <c r="I123" s="308"/>
      <c r="J123" s="308"/>
      <c r="K123" s="308"/>
      <c r="L123" s="308"/>
      <c r="M123" s="308"/>
      <c r="N123" s="323"/>
      <c r="O123" s="323"/>
      <c r="P123" s="323"/>
      <c r="Q123" s="323"/>
      <c r="R123" s="323"/>
      <c r="S123" s="323"/>
      <c r="T123" s="323"/>
      <c r="U123" s="323"/>
    </row>
    <row r="124" spans="1:21" x14ac:dyDescent="0.25">
      <c r="A124" s="308"/>
      <c r="B124" s="308"/>
      <c r="C124" s="322"/>
      <c r="D124" s="308"/>
      <c r="E124" s="308"/>
      <c r="F124" s="308"/>
      <c r="G124" s="308"/>
      <c r="H124" s="308"/>
      <c r="I124" s="308"/>
      <c r="J124" s="308"/>
      <c r="K124" s="308"/>
      <c r="L124" s="308"/>
      <c r="M124" s="308"/>
      <c r="N124" s="323"/>
      <c r="O124" s="323"/>
      <c r="P124" s="323"/>
      <c r="Q124" s="323"/>
      <c r="R124" s="323"/>
      <c r="S124" s="323"/>
      <c r="T124" s="323"/>
      <c r="U124" s="323"/>
    </row>
    <row r="125" spans="1:21" x14ac:dyDescent="0.25">
      <c r="A125" s="308"/>
      <c r="B125" s="308"/>
      <c r="C125" s="322"/>
      <c r="D125" s="308"/>
      <c r="E125" s="308"/>
      <c r="F125" s="308"/>
      <c r="G125" s="308"/>
      <c r="H125" s="308"/>
      <c r="I125" s="308"/>
      <c r="J125" s="308"/>
      <c r="K125" s="308"/>
      <c r="L125" s="308"/>
      <c r="M125" s="308"/>
      <c r="N125" s="323"/>
      <c r="O125" s="323"/>
      <c r="P125" s="323"/>
      <c r="Q125" s="323"/>
      <c r="R125" s="323"/>
      <c r="S125" s="323"/>
      <c r="T125" s="323"/>
      <c r="U125" s="323"/>
    </row>
    <row r="126" spans="1:21" x14ac:dyDescent="0.25">
      <c r="C126" s="322"/>
      <c r="D126" s="308"/>
      <c r="E126" s="308"/>
      <c r="F126" s="308"/>
      <c r="G126" s="308"/>
      <c r="H126" s="308"/>
      <c r="I126" s="308"/>
      <c r="J126" s="308"/>
      <c r="K126" s="308"/>
      <c r="L126" s="308"/>
      <c r="M126" s="308"/>
      <c r="N126" s="323"/>
    </row>
    <row r="127" spans="1:21" x14ac:dyDescent="0.25">
      <c r="C127" s="322"/>
      <c r="D127" s="308"/>
      <c r="E127" s="308"/>
      <c r="F127" s="308"/>
      <c r="G127" s="308"/>
      <c r="H127" s="308"/>
      <c r="I127" s="308"/>
      <c r="J127" s="308"/>
      <c r="K127" s="308"/>
      <c r="L127" s="308"/>
      <c r="M127" s="308"/>
      <c r="N127" s="323"/>
    </row>
    <row r="128" spans="1:21" x14ac:dyDescent="0.25">
      <c r="C128" s="322"/>
      <c r="D128" s="308"/>
      <c r="E128" s="308"/>
      <c r="F128" s="308"/>
      <c r="G128" s="308"/>
      <c r="H128" s="308"/>
      <c r="I128" s="308"/>
      <c r="J128" s="308"/>
      <c r="K128" s="308"/>
      <c r="L128" s="308"/>
      <c r="M128" s="308"/>
      <c r="N128" s="323"/>
    </row>
    <row r="129" spans="3:14" x14ac:dyDescent="0.25">
      <c r="C129" s="322"/>
      <c r="D129" s="308"/>
      <c r="E129" s="308"/>
      <c r="F129" s="308"/>
      <c r="G129" s="308"/>
      <c r="H129" s="308"/>
      <c r="I129" s="308"/>
      <c r="J129" s="308"/>
      <c r="K129" s="308"/>
      <c r="L129" s="308"/>
      <c r="M129" s="308"/>
      <c r="N129" s="323"/>
    </row>
  </sheetData>
  <mergeCells count="151">
    <mergeCell ref="U54:U55"/>
    <mergeCell ref="V54:V55"/>
    <mergeCell ref="A56:S56"/>
    <mergeCell ref="V50:V51"/>
    <mergeCell ref="A52:A55"/>
    <mergeCell ref="B52:B53"/>
    <mergeCell ref="C52:C53"/>
    <mergeCell ref="T52:T53"/>
    <mergeCell ref="U52:U53"/>
    <mergeCell ref="V52:V53"/>
    <mergeCell ref="B54:B55"/>
    <mergeCell ref="C54:C55"/>
    <mergeCell ref="T54:T55"/>
    <mergeCell ref="A48:A51"/>
    <mergeCell ref="B48:B49"/>
    <mergeCell ref="C48:C49"/>
    <mergeCell ref="T48:T49"/>
    <mergeCell ref="U48:U49"/>
    <mergeCell ref="V48:V49"/>
    <mergeCell ref="B50:B51"/>
    <mergeCell ref="C50:C51"/>
    <mergeCell ref="T50:T51"/>
    <mergeCell ref="U50:U51"/>
    <mergeCell ref="B44:B45"/>
    <mergeCell ref="C44:C45"/>
    <mergeCell ref="T44:T45"/>
    <mergeCell ref="U44:U45"/>
    <mergeCell ref="V44:V45"/>
    <mergeCell ref="B46:B47"/>
    <mergeCell ref="C46:C47"/>
    <mergeCell ref="T46:T47"/>
    <mergeCell ref="U46:U47"/>
    <mergeCell ref="V46:V47"/>
    <mergeCell ref="B40:B41"/>
    <mergeCell ref="C40:C41"/>
    <mergeCell ref="T40:T41"/>
    <mergeCell ref="U40:U41"/>
    <mergeCell ref="V40:V41"/>
    <mergeCell ref="B42:B43"/>
    <mergeCell ref="C42:C43"/>
    <mergeCell ref="T42:T43"/>
    <mergeCell ref="U42:U43"/>
    <mergeCell ref="V42:V43"/>
    <mergeCell ref="V36:V37"/>
    <mergeCell ref="B38:B39"/>
    <mergeCell ref="C38:C39"/>
    <mergeCell ref="T38:T39"/>
    <mergeCell ref="U38:U39"/>
    <mergeCell ref="V38:V39"/>
    <mergeCell ref="E32:E33"/>
    <mergeCell ref="U32:U33"/>
    <mergeCell ref="V32:V33"/>
    <mergeCell ref="B34:B37"/>
    <mergeCell ref="C34:C35"/>
    <mergeCell ref="T34:T37"/>
    <mergeCell ref="U34:U35"/>
    <mergeCell ref="V34:V35"/>
    <mergeCell ref="C36:C37"/>
    <mergeCell ref="U36:U37"/>
    <mergeCell ref="B30:B33"/>
    <mergeCell ref="C30:C31"/>
    <mergeCell ref="D30:D31"/>
    <mergeCell ref="E30:E31"/>
    <mergeCell ref="T30:T33"/>
    <mergeCell ref="U30:U31"/>
    <mergeCell ref="V30:V31"/>
    <mergeCell ref="C32:C33"/>
    <mergeCell ref="D32:D33"/>
    <mergeCell ref="E26:E27"/>
    <mergeCell ref="U26:U27"/>
    <mergeCell ref="V26:V27"/>
    <mergeCell ref="B28:B29"/>
    <mergeCell ref="C28:C29"/>
    <mergeCell ref="D28:D29"/>
    <mergeCell ref="E28:E29"/>
    <mergeCell ref="T28:T29"/>
    <mergeCell ref="U28:U29"/>
    <mergeCell ref="V28:V29"/>
    <mergeCell ref="B20:B21"/>
    <mergeCell ref="C20:C21"/>
    <mergeCell ref="D20:D21"/>
    <mergeCell ref="E20:E21"/>
    <mergeCell ref="T20:T21"/>
    <mergeCell ref="U20:U21"/>
    <mergeCell ref="V20:V21"/>
    <mergeCell ref="V22:V23"/>
    <mergeCell ref="A24:A47"/>
    <mergeCell ref="B24:B27"/>
    <mergeCell ref="C24:C25"/>
    <mergeCell ref="D24:D25"/>
    <mergeCell ref="E24:E25"/>
    <mergeCell ref="T24:T27"/>
    <mergeCell ref="U24:U25"/>
    <mergeCell ref="V24:V25"/>
    <mergeCell ref="C26:C27"/>
    <mergeCell ref="B22:B23"/>
    <mergeCell ref="C22:C23"/>
    <mergeCell ref="D22:D23"/>
    <mergeCell ref="E22:E23"/>
    <mergeCell ref="T22:T23"/>
    <mergeCell ref="U22:U23"/>
    <mergeCell ref="D26:D27"/>
    <mergeCell ref="V14:V15"/>
    <mergeCell ref="B16:B19"/>
    <mergeCell ref="C16:C17"/>
    <mergeCell ref="D16:D17"/>
    <mergeCell ref="E16:E17"/>
    <mergeCell ref="T16:T17"/>
    <mergeCell ref="U16:U19"/>
    <mergeCell ref="V16:V17"/>
    <mergeCell ref="C18:C19"/>
    <mergeCell ref="D18:D19"/>
    <mergeCell ref="E18:E19"/>
    <mergeCell ref="T18:T19"/>
    <mergeCell ref="V18:V19"/>
    <mergeCell ref="A8:A23"/>
    <mergeCell ref="B8:B9"/>
    <mergeCell ref="C8:C9"/>
    <mergeCell ref="D8:D9"/>
    <mergeCell ref="E8:E9"/>
    <mergeCell ref="T8:T9"/>
    <mergeCell ref="U8:U9"/>
    <mergeCell ref="V8:V9"/>
    <mergeCell ref="V10:V11"/>
    <mergeCell ref="C12:C13"/>
    <mergeCell ref="D12:D13"/>
    <mergeCell ref="E12:E13"/>
    <mergeCell ref="U12:U13"/>
    <mergeCell ref="V12:V13"/>
    <mergeCell ref="B10:B15"/>
    <mergeCell ref="C10:C11"/>
    <mergeCell ref="D10:D11"/>
    <mergeCell ref="E10:E11"/>
    <mergeCell ref="T10:T15"/>
    <mergeCell ref="U10:U11"/>
    <mergeCell ref="C14:C15"/>
    <mergeCell ref="D14:D15"/>
    <mergeCell ref="E14:E15"/>
    <mergeCell ref="U14:U15"/>
    <mergeCell ref="A1:B4"/>
    <mergeCell ref="C1:V1"/>
    <mergeCell ref="C2:V2"/>
    <mergeCell ref="D3:Z3"/>
    <mergeCell ref="D4:Z4"/>
    <mergeCell ref="A6:A7"/>
    <mergeCell ref="B6:B7"/>
    <mergeCell ref="C6:C7"/>
    <mergeCell ref="D6:E6"/>
    <mergeCell ref="F6:S6"/>
    <mergeCell ref="T6:U6"/>
    <mergeCell ref="V6:V7"/>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N248"/>
  <sheetViews>
    <sheetView view="pageBreakPreview" zoomScale="50" zoomScaleNormal="50" zoomScaleSheetLayoutView="50" workbookViewId="0">
      <pane ySplit="6" topLeftCell="A7" activePane="bottomLeft" state="frozen"/>
      <selection activeCell="A6" sqref="A6"/>
      <selection pane="bottomLeft" activeCell="N24" sqref="N24"/>
    </sheetView>
  </sheetViews>
  <sheetFormatPr baseColWidth="10" defaultColWidth="11.42578125" defaultRowHeight="12.75" x14ac:dyDescent="0.2"/>
  <cols>
    <col min="1" max="1" width="8.7109375" style="334" customWidth="1"/>
    <col min="2" max="2" width="18.28515625" style="334" customWidth="1"/>
    <col min="3" max="3" width="15.5703125" style="334" customWidth="1"/>
    <col min="4" max="4" width="16" style="334" customWidth="1"/>
    <col min="5" max="5" width="17.5703125" style="334" customWidth="1"/>
    <col min="6" max="6" width="19.28515625" style="498" customWidth="1"/>
    <col min="7" max="7" width="20.28515625" style="498" customWidth="1"/>
    <col min="8" max="9" width="16" style="498" customWidth="1"/>
    <col min="10" max="10" width="18.5703125" style="498" customWidth="1"/>
    <col min="11" max="15" width="16" style="498" customWidth="1"/>
    <col min="16" max="16" width="9.5703125" style="498" customWidth="1"/>
    <col min="17" max="17" width="9" style="498" customWidth="1"/>
    <col min="18" max="19" width="16" style="498" customWidth="1"/>
    <col min="20" max="20" width="16" style="499" customWidth="1"/>
    <col min="21" max="21" width="16" style="468" customWidth="1"/>
    <col min="22" max="22" width="19.28515625" style="334" customWidth="1"/>
    <col min="23" max="23" width="14.85546875" style="334" customWidth="1"/>
    <col min="24" max="24" width="12.5703125" style="334" customWidth="1"/>
    <col min="25" max="25" width="12.7109375" style="334" customWidth="1"/>
    <col min="26" max="26" width="14.42578125" style="334" customWidth="1"/>
    <col min="27" max="27" width="16" style="334" customWidth="1"/>
    <col min="28" max="30" width="16.7109375" style="334" customWidth="1"/>
    <col min="31" max="31" width="32" style="334" customWidth="1"/>
    <col min="32" max="33" width="22.28515625" style="500" customWidth="1"/>
    <col min="34" max="34" width="17.85546875" style="334" customWidth="1"/>
    <col min="35" max="35" width="29.7109375" style="331" customWidth="1"/>
    <col min="36" max="36" width="4.85546875" style="331" customWidth="1"/>
    <col min="37" max="37" width="7.7109375" style="332" hidden="1" customWidth="1"/>
    <col min="38" max="38" width="14.140625" style="332" hidden="1" customWidth="1"/>
    <col min="39" max="39" width="1.85546875" style="332" hidden="1" customWidth="1"/>
    <col min="40" max="40" width="14.28515625" style="332" hidden="1" customWidth="1"/>
    <col min="41" max="41" width="1.85546875" style="332" hidden="1" customWidth="1"/>
    <col min="42" max="42" width="16.85546875" style="332" hidden="1" customWidth="1"/>
    <col min="43" max="44" width="1.85546875" style="332" hidden="1" customWidth="1"/>
    <col min="45" max="45" width="14.140625" style="332" hidden="1" customWidth="1"/>
    <col min="46" max="48" width="11.42578125" style="333"/>
    <col min="49" max="92" width="11.42578125" style="331"/>
    <col min="93" max="16384" width="11.42578125" style="334"/>
  </cols>
  <sheetData>
    <row r="1" spans="1:92" ht="27.75" customHeight="1" x14ac:dyDescent="0.2">
      <c r="A1" s="927"/>
      <c r="B1" s="928"/>
      <c r="C1" s="928"/>
      <c r="D1" s="929"/>
      <c r="E1" s="933" t="s">
        <v>0</v>
      </c>
      <c r="F1" s="934"/>
      <c r="G1" s="934"/>
      <c r="H1" s="934"/>
      <c r="I1" s="934"/>
      <c r="J1" s="934"/>
      <c r="K1" s="934"/>
      <c r="L1" s="934"/>
      <c r="M1" s="934"/>
      <c r="N1" s="934"/>
      <c r="O1" s="934"/>
      <c r="P1" s="934"/>
      <c r="Q1" s="934"/>
      <c r="R1" s="934"/>
      <c r="S1" s="934"/>
      <c r="T1" s="934"/>
      <c r="U1" s="934"/>
      <c r="V1" s="934"/>
      <c r="W1" s="934"/>
      <c r="X1" s="934"/>
      <c r="Y1" s="934"/>
      <c r="Z1" s="934"/>
      <c r="AA1" s="934"/>
      <c r="AB1" s="934"/>
      <c r="AC1" s="934"/>
      <c r="AD1" s="934"/>
      <c r="AE1" s="934"/>
      <c r="AF1" s="934"/>
      <c r="AG1" s="934"/>
      <c r="AH1" s="935"/>
    </row>
    <row r="2" spans="1:92" ht="36" customHeight="1" x14ac:dyDescent="0.2">
      <c r="A2" s="930"/>
      <c r="B2" s="931"/>
      <c r="C2" s="931"/>
      <c r="D2" s="932"/>
      <c r="E2" s="936" t="s">
        <v>103</v>
      </c>
      <c r="F2" s="937"/>
      <c r="G2" s="937"/>
      <c r="H2" s="937"/>
      <c r="I2" s="937"/>
      <c r="J2" s="937"/>
      <c r="K2" s="937"/>
      <c r="L2" s="937"/>
      <c r="M2" s="937"/>
      <c r="N2" s="937"/>
      <c r="O2" s="937"/>
      <c r="P2" s="937"/>
      <c r="Q2" s="937"/>
      <c r="R2" s="937"/>
      <c r="S2" s="937"/>
      <c r="T2" s="937"/>
      <c r="U2" s="937"/>
      <c r="V2" s="937"/>
      <c r="W2" s="937"/>
      <c r="X2" s="937"/>
      <c r="Y2" s="937"/>
      <c r="Z2" s="937"/>
      <c r="AA2" s="937"/>
      <c r="AB2" s="937"/>
      <c r="AC2" s="937"/>
      <c r="AD2" s="937"/>
      <c r="AE2" s="937"/>
      <c r="AF2" s="937"/>
      <c r="AG2" s="937"/>
      <c r="AH2" s="938"/>
    </row>
    <row r="3" spans="1:92" ht="35.25" customHeight="1" x14ac:dyDescent="0.2">
      <c r="A3" s="930"/>
      <c r="B3" s="931"/>
      <c r="C3" s="931"/>
      <c r="D3" s="932"/>
      <c r="E3" s="939" t="s">
        <v>366</v>
      </c>
      <c r="F3" s="940"/>
      <c r="G3" s="684" t="s">
        <v>478</v>
      </c>
      <c r="H3" s="685"/>
      <c r="I3" s="685"/>
      <c r="J3" s="685"/>
      <c r="K3" s="685"/>
      <c r="L3" s="685"/>
      <c r="M3" s="685"/>
      <c r="N3" s="685"/>
      <c r="O3" s="685"/>
      <c r="P3" s="685"/>
      <c r="Q3" s="685"/>
      <c r="R3" s="685"/>
      <c r="S3" s="685"/>
      <c r="T3" s="685"/>
      <c r="U3" s="685"/>
      <c r="V3" s="685"/>
      <c r="W3" s="684" t="s">
        <v>478</v>
      </c>
      <c r="X3" s="685"/>
      <c r="Y3" s="685"/>
      <c r="Z3" s="685"/>
      <c r="AA3" s="685"/>
      <c r="AB3" s="685"/>
      <c r="AC3" s="685"/>
      <c r="AD3" s="685"/>
      <c r="AE3" s="685"/>
      <c r="AF3" s="685"/>
      <c r="AG3" s="685"/>
      <c r="AH3" s="685"/>
      <c r="AI3" s="685"/>
      <c r="AJ3" s="685"/>
      <c r="AK3" s="685"/>
      <c r="AL3" s="685"/>
      <c r="AM3" s="685"/>
      <c r="AN3" s="685"/>
      <c r="AO3" s="685"/>
      <c r="AP3" s="685"/>
      <c r="AQ3" s="685"/>
      <c r="AR3" s="685"/>
      <c r="AS3" s="686"/>
    </row>
    <row r="4" spans="1:92" ht="23.25" customHeight="1" thickBot="1" x14ac:dyDescent="0.25">
      <c r="A4" s="930"/>
      <c r="B4" s="931"/>
      <c r="C4" s="931"/>
      <c r="D4" s="932"/>
      <c r="E4" s="941" t="s">
        <v>367</v>
      </c>
      <c r="F4" s="942"/>
      <c r="G4" s="941" t="s">
        <v>531</v>
      </c>
      <c r="H4" s="943"/>
      <c r="I4" s="943"/>
      <c r="J4" s="943"/>
      <c r="K4" s="943"/>
      <c r="L4" s="943"/>
      <c r="M4" s="943"/>
      <c r="N4" s="943"/>
      <c r="O4" s="943"/>
      <c r="P4" s="943"/>
      <c r="Q4" s="943"/>
      <c r="R4" s="944"/>
      <c r="S4" s="944"/>
      <c r="T4" s="944"/>
      <c r="U4" s="944"/>
      <c r="V4" s="945"/>
      <c r="W4" s="687" t="s">
        <v>479</v>
      </c>
      <c r="X4" s="688"/>
      <c r="Y4" s="688"/>
      <c r="Z4" s="688"/>
      <c r="AA4" s="688"/>
      <c r="AB4" s="688"/>
      <c r="AC4" s="688"/>
      <c r="AD4" s="688"/>
      <c r="AE4" s="688"/>
      <c r="AF4" s="688"/>
      <c r="AG4" s="688"/>
      <c r="AH4" s="688"/>
      <c r="AI4" s="688"/>
      <c r="AJ4" s="688"/>
      <c r="AK4" s="688"/>
      <c r="AL4" s="688"/>
      <c r="AM4" s="688"/>
      <c r="AN4" s="688"/>
      <c r="AO4" s="688"/>
      <c r="AP4" s="688"/>
      <c r="AQ4" s="688"/>
      <c r="AR4" s="688"/>
      <c r="AS4" s="689"/>
    </row>
    <row r="5" spans="1:92" s="338" customFormat="1" ht="21.75" customHeight="1" thickBot="1" x14ac:dyDescent="0.25">
      <c r="A5" s="915" t="s">
        <v>39</v>
      </c>
      <c r="B5" s="917" t="s">
        <v>40</v>
      </c>
      <c r="C5" s="919" t="s">
        <v>41</v>
      </c>
      <c r="D5" s="921" t="s">
        <v>532</v>
      </c>
      <c r="E5" s="923" t="s">
        <v>533</v>
      </c>
      <c r="F5" s="924" t="s">
        <v>534</v>
      </c>
      <c r="G5" s="925"/>
      <c r="H5" s="925"/>
      <c r="I5" s="925"/>
      <c r="J5" s="925"/>
      <c r="K5" s="925"/>
      <c r="L5" s="925"/>
      <c r="M5" s="925"/>
      <c r="N5" s="925"/>
      <c r="O5" s="925"/>
      <c r="P5" s="925"/>
      <c r="Q5" s="926"/>
      <c r="R5" s="907" t="s">
        <v>535</v>
      </c>
      <c r="S5" s="907"/>
      <c r="T5" s="907"/>
      <c r="U5" s="907"/>
      <c r="V5" s="907"/>
      <c r="W5" s="908" t="s">
        <v>42</v>
      </c>
      <c r="X5" s="907"/>
      <c r="Y5" s="907"/>
      <c r="Z5" s="907"/>
      <c r="AA5" s="909"/>
      <c r="AB5" s="908" t="s">
        <v>48</v>
      </c>
      <c r="AC5" s="907"/>
      <c r="AD5" s="907"/>
      <c r="AE5" s="907"/>
      <c r="AF5" s="907"/>
      <c r="AG5" s="909"/>
      <c r="AH5" s="910" t="s">
        <v>536</v>
      </c>
      <c r="AI5" s="335"/>
      <c r="AJ5" s="335"/>
      <c r="AK5" s="336"/>
      <c r="AL5" s="336"/>
      <c r="AM5" s="336"/>
      <c r="AN5" s="336"/>
      <c r="AO5" s="336"/>
      <c r="AP5" s="336"/>
      <c r="AQ5" s="336"/>
      <c r="AR5" s="336"/>
      <c r="AS5" s="336"/>
      <c r="AT5" s="337"/>
      <c r="AU5" s="337"/>
      <c r="AV5" s="337"/>
      <c r="AW5" s="335"/>
      <c r="AX5" s="335"/>
      <c r="AY5" s="335"/>
      <c r="AZ5" s="335"/>
      <c r="BA5" s="335"/>
      <c r="BB5" s="335"/>
      <c r="BC5" s="335"/>
      <c r="BD5" s="335"/>
      <c r="BE5" s="335"/>
      <c r="BF5" s="335"/>
      <c r="BG5" s="335"/>
      <c r="BH5" s="335"/>
      <c r="BI5" s="335"/>
      <c r="BJ5" s="335"/>
      <c r="BK5" s="335"/>
      <c r="BL5" s="335"/>
      <c r="BM5" s="335"/>
      <c r="BN5" s="335"/>
      <c r="BO5" s="335"/>
      <c r="BP5" s="335"/>
      <c r="BQ5" s="335"/>
      <c r="BR5" s="335"/>
      <c r="BS5" s="335"/>
      <c r="BT5" s="335"/>
      <c r="BU5" s="335"/>
      <c r="BV5" s="335"/>
      <c r="BW5" s="335"/>
      <c r="BX5" s="335"/>
      <c r="BY5" s="335"/>
      <c r="BZ5" s="335"/>
      <c r="CA5" s="335"/>
      <c r="CB5" s="335"/>
      <c r="CC5" s="335"/>
      <c r="CD5" s="335"/>
      <c r="CE5" s="335"/>
      <c r="CF5" s="335"/>
      <c r="CG5" s="335"/>
      <c r="CH5" s="335"/>
      <c r="CI5" s="335"/>
      <c r="CJ5" s="335"/>
      <c r="CK5" s="335"/>
      <c r="CL5" s="335"/>
      <c r="CM5" s="335"/>
      <c r="CN5" s="335"/>
    </row>
    <row r="6" spans="1:92" s="338" customFormat="1" ht="58.5" customHeight="1" thickBot="1" x14ac:dyDescent="0.25">
      <c r="A6" s="916" t="s">
        <v>33</v>
      </c>
      <c r="B6" s="918"/>
      <c r="C6" s="920"/>
      <c r="D6" s="922"/>
      <c r="E6" s="923"/>
      <c r="F6" s="339" t="s">
        <v>537</v>
      </c>
      <c r="G6" s="339" t="s">
        <v>538</v>
      </c>
      <c r="H6" s="339" t="s">
        <v>539</v>
      </c>
      <c r="I6" s="339" t="s">
        <v>540</v>
      </c>
      <c r="J6" s="339" t="s">
        <v>541</v>
      </c>
      <c r="K6" s="339" t="s">
        <v>542</v>
      </c>
      <c r="L6" s="339" t="s">
        <v>543</v>
      </c>
      <c r="M6" s="339" t="s">
        <v>544</v>
      </c>
      <c r="N6" s="339" t="s">
        <v>545</v>
      </c>
      <c r="O6" s="339" t="s">
        <v>546</v>
      </c>
      <c r="P6" s="339" t="s">
        <v>547</v>
      </c>
      <c r="Q6" s="339" t="s">
        <v>548</v>
      </c>
      <c r="R6" s="339" t="s">
        <v>537</v>
      </c>
      <c r="S6" s="339" t="s">
        <v>538</v>
      </c>
      <c r="T6" s="340" t="s">
        <v>539</v>
      </c>
      <c r="U6" s="339" t="s">
        <v>540</v>
      </c>
      <c r="V6" s="339" t="s">
        <v>541</v>
      </c>
      <c r="W6" s="341" t="s">
        <v>43</v>
      </c>
      <c r="X6" s="342" t="s">
        <v>44</v>
      </c>
      <c r="Y6" s="342" t="s">
        <v>45</v>
      </c>
      <c r="Z6" s="342" t="s">
        <v>46</v>
      </c>
      <c r="AA6" s="342" t="s">
        <v>47</v>
      </c>
      <c r="AB6" s="339" t="s">
        <v>49</v>
      </c>
      <c r="AC6" s="339" t="s">
        <v>50</v>
      </c>
      <c r="AD6" s="341" t="s">
        <v>51</v>
      </c>
      <c r="AE6" s="341" t="s">
        <v>52</v>
      </c>
      <c r="AF6" s="343" t="s">
        <v>53</v>
      </c>
      <c r="AG6" s="344" t="s">
        <v>54</v>
      </c>
      <c r="AH6" s="911"/>
      <c r="AI6" s="335"/>
      <c r="AJ6" s="335"/>
      <c r="AK6" s="345" t="s">
        <v>549</v>
      </c>
      <c r="AL6" s="345" t="s">
        <v>550</v>
      </c>
      <c r="AM6" s="346"/>
      <c r="AN6" s="345" t="s">
        <v>551</v>
      </c>
      <c r="AO6" s="346"/>
      <c r="AP6" s="345" t="s">
        <v>552</v>
      </c>
      <c r="AQ6" s="336"/>
      <c r="AR6" s="336"/>
      <c r="AS6" s="347" t="s">
        <v>553</v>
      </c>
      <c r="AT6" s="337"/>
      <c r="AU6" s="337"/>
      <c r="AV6" s="337"/>
      <c r="AW6" s="335"/>
      <c r="AX6" s="335"/>
      <c r="AY6" s="335"/>
      <c r="AZ6" s="335"/>
      <c r="BA6" s="335"/>
      <c r="BB6" s="335"/>
      <c r="BC6" s="335"/>
      <c r="BD6" s="335"/>
      <c r="BE6" s="335"/>
      <c r="BF6" s="335"/>
      <c r="BG6" s="335"/>
      <c r="BH6" s="335"/>
      <c r="BI6" s="335"/>
      <c r="BJ6" s="335"/>
      <c r="BK6" s="335"/>
      <c r="BL6" s="335"/>
      <c r="BM6" s="335"/>
      <c r="BN6" s="335"/>
      <c r="BO6" s="335"/>
      <c r="BP6" s="335"/>
      <c r="BQ6" s="335"/>
      <c r="BR6" s="335"/>
      <c r="BS6" s="335"/>
      <c r="BT6" s="335"/>
      <c r="BU6" s="335"/>
      <c r="BV6" s="335"/>
      <c r="BW6" s="335"/>
      <c r="BX6" s="335"/>
      <c r="BY6" s="335"/>
      <c r="BZ6" s="335"/>
      <c r="CA6" s="335"/>
      <c r="CB6" s="335"/>
      <c r="CC6" s="335"/>
      <c r="CD6" s="335"/>
      <c r="CE6" s="335"/>
      <c r="CF6" s="335"/>
      <c r="CG6" s="335"/>
      <c r="CH6" s="335"/>
      <c r="CI6" s="335"/>
      <c r="CJ6" s="335"/>
      <c r="CK6" s="335"/>
      <c r="CL6" s="335"/>
      <c r="CM6" s="335"/>
      <c r="CN6" s="335"/>
    </row>
    <row r="7" spans="1:92" ht="22.5" customHeight="1" x14ac:dyDescent="0.2">
      <c r="A7" s="809">
        <v>2</v>
      </c>
      <c r="B7" s="877" t="s">
        <v>152</v>
      </c>
      <c r="C7" s="912" t="s">
        <v>199</v>
      </c>
      <c r="D7" s="348" t="s">
        <v>34</v>
      </c>
      <c r="E7" s="349">
        <v>28</v>
      </c>
      <c r="F7" s="350">
        <v>28</v>
      </c>
      <c r="G7" s="350">
        <v>28</v>
      </c>
      <c r="H7" s="350">
        <v>28</v>
      </c>
      <c r="I7" s="351">
        <v>28</v>
      </c>
      <c r="J7" s="350">
        <v>28</v>
      </c>
      <c r="K7" s="351"/>
      <c r="L7" s="351"/>
      <c r="M7" s="351"/>
      <c r="N7" s="351"/>
      <c r="O7" s="351"/>
      <c r="P7" s="351"/>
      <c r="Q7" s="351"/>
      <c r="R7" s="351"/>
      <c r="S7" s="351"/>
      <c r="T7" s="350">
        <v>28</v>
      </c>
      <c r="U7" s="351"/>
      <c r="V7" s="350">
        <v>28</v>
      </c>
      <c r="W7" s="881"/>
      <c r="X7" s="894"/>
      <c r="Y7" s="839" t="s">
        <v>200</v>
      </c>
      <c r="Z7" s="881" t="s">
        <v>201</v>
      </c>
      <c r="AA7" s="904" t="s">
        <v>554</v>
      </c>
      <c r="AB7" s="839">
        <v>8668</v>
      </c>
      <c r="AC7" s="839">
        <v>9452</v>
      </c>
      <c r="AD7" s="839" t="s">
        <v>202</v>
      </c>
      <c r="AE7" s="839" t="s">
        <v>197</v>
      </c>
      <c r="AF7" s="839" t="s">
        <v>203</v>
      </c>
      <c r="AG7" s="839">
        <f>+AB7+AC7</f>
        <v>18120</v>
      </c>
      <c r="AH7" s="891"/>
      <c r="AK7" s="352">
        <v>12</v>
      </c>
      <c r="AL7" s="352" t="s">
        <v>35</v>
      </c>
      <c r="AM7" s="353"/>
      <c r="AN7" s="353"/>
      <c r="AO7" s="353"/>
      <c r="AP7" s="352" t="s">
        <v>555</v>
      </c>
      <c r="AQ7" s="353"/>
      <c r="AR7" s="353"/>
      <c r="AS7" s="353"/>
    </row>
    <row r="8" spans="1:92" ht="22.5" customHeight="1" x14ac:dyDescent="0.2">
      <c r="A8" s="783"/>
      <c r="B8" s="784"/>
      <c r="C8" s="913"/>
      <c r="D8" s="354" t="s">
        <v>36</v>
      </c>
      <c r="E8" s="355">
        <v>131881000</v>
      </c>
      <c r="F8" s="355">
        <v>131881000</v>
      </c>
      <c r="G8" s="355">
        <v>131881000</v>
      </c>
      <c r="H8" s="355">
        <v>131881000</v>
      </c>
      <c r="I8" s="355">
        <v>131881000</v>
      </c>
      <c r="J8" s="355">
        <v>131881000</v>
      </c>
      <c r="K8" s="62"/>
      <c r="L8" s="62"/>
      <c r="M8" s="62"/>
      <c r="N8" s="62"/>
      <c r="O8" s="62"/>
      <c r="P8" s="62"/>
      <c r="Q8" s="62"/>
      <c r="R8" s="62"/>
      <c r="S8" s="62"/>
      <c r="T8" s="356">
        <v>0</v>
      </c>
      <c r="U8" s="62"/>
      <c r="V8" s="355">
        <v>24146084</v>
      </c>
      <c r="W8" s="882"/>
      <c r="X8" s="895"/>
      <c r="Y8" s="840"/>
      <c r="Z8" s="882"/>
      <c r="AA8" s="905"/>
      <c r="AB8" s="840"/>
      <c r="AC8" s="840"/>
      <c r="AD8" s="840"/>
      <c r="AE8" s="840"/>
      <c r="AF8" s="840"/>
      <c r="AG8" s="840"/>
      <c r="AH8" s="891"/>
      <c r="AK8" s="352">
        <v>13</v>
      </c>
      <c r="AL8" s="352" t="s">
        <v>556</v>
      </c>
      <c r="AM8" s="353"/>
      <c r="AN8" s="353"/>
      <c r="AO8" s="353"/>
      <c r="AP8" s="352" t="s">
        <v>557</v>
      </c>
      <c r="AQ8" s="353"/>
      <c r="AR8" s="353"/>
      <c r="AS8" s="353"/>
    </row>
    <row r="9" spans="1:92" ht="22.5" customHeight="1" x14ac:dyDescent="0.2">
      <c r="A9" s="783"/>
      <c r="B9" s="784"/>
      <c r="C9" s="913"/>
      <c r="D9" s="354" t="s">
        <v>37</v>
      </c>
      <c r="E9" s="357"/>
      <c r="F9" s="357"/>
      <c r="G9" s="357"/>
      <c r="H9" s="357"/>
      <c r="I9" s="357"/>
      <c r="J9" s="357"/>
      <c r="K9" s="63"/>
      <c r="L9" s="63"/>
      <c r="M9" s="63"/>
      <c r="N9" s="63"/>
      <c r="O9" s="63"/>
      <c r="P9" s="63"/>
      <c r="Q9" s="63"/>
      <c r="R9" s="63"/>
      <c r="S9" s="63"/>
      <c r="T9" s="357"/>
      <c r="U9" s="63"/>
      <c r="V9" s="63"/>
      <c r="W9" s="882"/>
      <c r="X9" s="895"/>
      <c r="Y9" s="840"/>
      <c r="Z9" s="882"/>
      <c r="AA9" s="905"/>
      <c r="AB9" s="840"/>
      <c r="AC9" s="840"/>
      <c r="AD9" s="840"/>
      <c r="AE9" s="840"/>
      <c r="AF9" s="840"/>
      <c r="AG9" s="840"/>
      <c r="AH9" s="891"/>
      <c r="AK9" s="352">
        <v>14</v>
      </c>
      <c r="AL9" s="352" t="s">
        <v>558</v>
      </c>
      <c r="AM9" s="353"/>
      <c r="AN9" s="353"/>
      <c r="AO9" s="353"/>
      <c r="AP9" s="352" t="s">
        <v>559</v>
      </c>
      <c r="AQ9" s="353"/>
      <c r="AR9" s="353"/>
      <c r="AS9" s="353"/>
    </row>
    <row r="10" spans="1:92" ht="22.5" customHeight="1" thickBot="1" x14ac:dyDescent="0.25">
      <c r="A10" s="807"/>
      <c r="B10" s="833"/>
      <c r="C10" s="914"/>
      <c r="D10" s="358" t="s">
        <v>38</v>
      </c>
      <c r="E10" s="359">
        <v>4431061</v>
      </c>
      <c r="F10" s="359">
        <v>4431061</v>
      </c>
      <c r="G10" s="359">
        <v>4431061</v>
      </c>
      <c r="H10" s="359">
        <v>4431061</v>
      </c>
      <c r="I10" s="359">
        <v>4431061</v>
      </c>
      <c r="J10" s="359">
        <v>4431061</v>
      </c>
      <c r="K10" s="360"/>
      <c r="L10" s="360"/>
      <c r="M10" s="360"/>
      <c r="N10" s="360"/>
      <c r="O10" s="360"/>
      <c r="P10" s="360"/>
      <c r="Q10" s="360"/>
      <c r="R10" s="360"/>
      <c r="S10" s="360"/>
      <c r="T10" s="361">
        <v>4129614</v>
      </c>
      <c r="U10" s="362"/>
      <c r="V10" s="363">
        <v>4431061</v>
      </c>
      <c r="W10" s="903"/>
      <c r="X10" s="899"/>
      <c r="Y10" s="841"/>
      <c r="Z10" s="903"/>
      <c r="AA10" s="906"/>
      <c r="AB10" s="841"/>
      <c r="AC10" s="841"/>
      <c r="AD10" s="841"/>
      <c r="AE10" s="841"/>
      <c r="AF10" s="841"/>
      <c r="AG10" s="841"/>
      <c r="AH10" s="891"/>
      <c r="AK10" s="352"/>
      <c r="AL10" s="352"/>
      <c r="AM10" s="353"/>
      <c r="AN10" s="353"/>
      <c r="AO10" s="353"/>
      <c r="AP10" s="352"/>
      <c r="AQ10" s="353"/>
      <c r="AR10" s="353"/>
      <c r="AS10" s="353"/>
    </row>
    <row r="11" spans="1:92" ht="13.5" customHeight="1" x14ac:dyDescent="0.2">
      <c r="A11" s="857">
        <v>3</v>
      </c>
      <c r="B11" s="859" t="s">
        <v>153</v>
      </c>
      <c r="C11" s="861" t="s">
        <v>204</v>
      </c>
      <c r="D11" s="364" t="s">
        <v>34</v>
      </c>
      <c r="E11" s="351">
        <f t="shared" ref="E11:I11" si="0">35.29+0.3</f>
        <v>35.589999999999996</v>
      </c>
      <c r="F11" s="351">
        <f t="shared" si="0"/>
        <v>35.589999999999996</v>
      </c>
      <c r="G11" s="351">
        <f t="shared" si="0"/>
        <v>35.589999999999996</v>
      </c>
      <c r="H11" s="351">
        <f t="shared" si="0"/>
        <v>35.589999999999996</v>
      </c>
      <c r="I11" s="351">
        <f t="shared" si="0"/>
        <v>35.589999999999996</v>
      </c>
      <c r="J11" s="351">
        <v>35.589999999999996</v>
      </c>
      <c r="K11" s="351"/>
      <c r="L11" s="351"/>
      <c r="M11" s="351"/>
      <c r="N11" s="351"/>
      <c r="O11" s="351"/>
      <c r="P11" s="351"/>
      <c r="Q11" s="351"/>
      <c r="R11" s="351"/>
      <c r="S11" s="351"/>
      <c r="T11" s="351">
        <v>33.75</v>
      </c>
      <c r="U11" s="351"/>
      <c r="V11" s="351">
        <f>33.75+4</f>
        <v>37.75</v>
      </c>
      <c r="W11" s="896" t="s">
        <v>212</v>
      </c>
      <c r="X11" s="900"/>
      <c r="Y11" s="839"/>
      <c r="Z11" s="894"/>
      <c r="AA11" s="839" t="s">
        <v>209</v>
      </c>
      <c r="AB11" s="839">
        <f>99411+211224+330665+307600</f>
        <v>948900</v>
      </c>
      <c r="AC11" s="839">
        <f>101314+215866+344806+321466</f>
        <v>983452</v>
      </c>
      <c r="AD11" s="839" t="s">
        <v>202</v>
      </c>
      <c r="AE11" s="839" t="s">
        <v>197</v>
      </c>
      <c r="AF11" s="839" t="s">
        <v>203</v>
      </c>
      <c r="AG11" s="839">
        <f>+AB11+AC11</f>
        <v>1932352</v>
      </c>
      <c r="AH11" s="891"/>
      <c r="AK11" s="352">
        <v>12</v>
      </c>
      <c r="AL11" s="352" t="s">
        <v>35</v>
      </c>
      <c r="AM11" s="353"/>
      <c r="AN11" s="353"/>
      <c r="AO11" s="353"/>
      <c r="AP11" s="352" t="s">
        <v>555</v>
      </c>
      <c r="AQ11" s="353"/>
      <c r="AR11" s="353"/>
      <c r="AS11" s="353"/>
    </row>
    <row r="12" spans="1:92" ht="13.5" customHeight="1" x14ac:dyDescent="0.2">
      <c r="A12" s="783"/>
      <c r="B12" s="784"/>
      <c r="C12" s="781"/>
      <c r="D12" s="354" t="s">
        <v>36</v>
      </c>
      <c r="E12" s="355">
        <f>666937200/4+265801800+54000000</f>
        <v>486536100</v>
      </c>
      <c r="F12" s="355">
        <f t="shared" ref="F12:I12" si="1">666937200/4+265801800+54000000</f>
        <v>486536100</v>
      </c>
      <c r="G12" s="355">
        <f t="shared" si="1"/>
        <v>486536100</v>
      </c>
      <c r="H12" s="355">
        <f t="shared" si="1"/>
        <v>486536100</v>
      </c>
      <c r="I12" s="355">
        <f t="shared" si="1"/>
        <v>486536100</v>
      </c>
      <c r="J12" s="355">
        <v>470036100</v>
      </c>
      <c r="K12" s="62"/>
      <c r="L12" s="62"/>
      <c r="M12" s="62"/>
      <c r="N12" s="62"/>
      <c r="O12" s="62"/>
      <c r="P12" s="62"/>
      <c r="Q12" s="62"/>
      <c r="R12" s="62"/>
      <c r="S12" s="62"/>
      <c r="T12" s="365">
        <f>60004505/4</f>
        <v>15001126.25</v>
      </c>
      <c r="U12" s="62"/>
      <c r="V12" s="366">
        <f>205692599/4</f>
        <v>51423149.75</v>
      </c>
      <c r="W12" s="897"/>
      <c r="X12" s="901"/>
      <c r="Y12" s="840"/>
      <c r="Z12" s="895"/>
      <c r="AA12" s="840"/>
      <c r="AB12" s="840"/>
      <c r="AC12" s="840"/>
      <c r="AD12" s="840"/>
      <c r="AE12" s="840"/>
      <c r="AF12" s="840"/>
      <c r="AG12" s="840"/>
      <c r="AH12" s="891"/>
      <c r="AK12" s="352">
        <v>13</v>
      </c>
      <c r="AL12" s="352" t="s">
        <v>556</v>
      </c>
      <c r="AM12" s="353"/>
      <c r="AN12" s="353"/>
      <c r="AO12" s="353"/>
      <c r="AP12" s="352" t="s">
        <v>557</v>
      </c>
      <c r="AQ12" s="353"/>
      <c r="AR12" s="353"/>
      <c r="AS12" s="353"/>
    </row>
    <row r="13" spans="1:92" ht="14.25" customHeight="1" x14ac:dyDescent="0.2">
      <c r="A13" s="783"/>
      <c r="B13" s="784"/>
      <c r="C13" s="781"/>
      <c r="D13" s="354" t="s">
        <v>37</v>
      </c>
      <c r="E13" s="63"/>
      <c r="F13" s="63"/>
      <c r="G13" s="63"/>
      <c r="H13" s="63"/>
      <c r="I13" s="63"/>
      <c r="J13" s="63"/>
      <c r="K13" s="63"/>
      <c r="L13" s="63"/>
      <c r="M13" s="63"/>
      <c r="N13" s="63"/>
      <c r="O13" s="63"/>
      <c r="P13" s="63"/>
      <c r="Q13" s="63"/>
      <c r="R13" s="63"/>
      <c r="S13" s="63"/>
      <c r="T13" s="367"/>
      <c r="U13" s="63"/>
      <c r="V13" s="367"/>
      <c r="W13" s="897"/>
      <c r="X13" s="901"/>
      <c r="Y13" s="840"/>
      <c r="Z13" s="895"/>
      <c r="AA13" s="840"/>
      <c r="AB13" s="840"/>
      <c r="AC13" s="840"/>
      <c r="AD13" s="840"/>
      <c r="AE13" s="840"/>
      <c r="AF13" s="840"/>
      <c r="AG13" s="840"/>
      <c r="AH13" s="891"/>
      <c r="AK13" s="352">
        <v>14</v>
      </c>
      <c r="AL13" s="352" t="s">
        <v>558</v>
      </c>
      <c r="AM13" s="353"/>
      <c r="AN13" s="353"/>
      <c r="AO13" s="353"/>
      <c r="AP13" s="352" t="s">
        <v>559</v>
      </c>
      <c r="AQ13" s="353"/>
      <c r="AR13" s="353"/>
      <c r="AS13" s="353"/>
    </row>
    <row r="14" spans="1:92" ht="23.25" thickBot="1" x14ac:dyDescent="0.25">
      <c r="A14" s="783"/>
      <c r="B14" s="784"/>
      <c r="C14" s="781"/>
      <c r="D14" s="368" t="s">
        <v>38</v>
      </c>
      <c r="E14" s="359">
        <f t="shared" ref="E14:I14" si="2">806623350/4+151708332/3</f>
        <v>252225281.5</v>
      </c>
      <c r="F14" s="359">
        <f t="shared" si="2"/>
        <v>252225281.5</v>
      </c>
      <c r="G14" s="359">
        <f t="shared" si="2"/>
        <v>252225281.5</v>
      </c>
      <c r="H14" s="359">
        <f t="shared" si="2"/>
        <v>252225281.5</v>
      </c>
      <c r="I14" s="359">
        <f t="shared" si="2"/>
        <v>252225281.5</v>
      </c>
      <c r="J14" s="359">
        <v>251888815.16999999</v>
      </c>
      <c r="K14" s="63"/>
      <c r="L14" s="63"/>
      <c r="M14" s="63"/>
      <c r="N14" s="63"/>
      <c r="O14" s="63"/>
      <c r="P14" s="63"/>
      <c r="Q14" s="63"/>
      <c r="R14" s="63"/>
      <c r="S14" s="63"/>
      <c r="T14" s="361">
        <f>198577082.1/4+226212263/3</f>
        <v>125048358.19166666</v>
      </c>
      <c r="U14" s="63"/>
      <c r="V14" s="363">
        <f>242956919/4+2760400+353867831/3</f>
        <v>181455573.41666669</v>
      </c>
      <c r="W14" s="898"/>
      <c r="X14" s="902"/>
      <c r="Y14" s="841"/>
      <c r="Z14" s="899"/>
      <c r="AA14" s="841"/>
      <c r="AB14" s="841"/>
      <c r="AC14" s="841"/>
      <c r="AD14" s="841"/>
      <c r="AE14" s="841"/>
      <c r="AF14" s="841"/>
      <c r="AG14" s="841"/>
      <c r="AH14" s="891"/>
      <c r="AK14" s="352"/>
      <c r="AL14" s="352"/>
      <c r="AM14" s="353"/>
      <c r="AN14" s="353"/>
      <c r="AO14" s="353"/>
      <c r="AP14" s="352"/>
      <c r="AQ14" s="353"/>
      <c r="AR14" s="353"/>
      <c r="AS14" s="353"/>
    </row>
    <row r="15" spans="1:92" ht="13.5" customHeight="1" x14ac:dyDescent="0.2">
      <c r="A15" s="783"/>
      <c r="B15" s="784"/>
      <c r="C15" s="781" t="s">
        <v>205</v>
      </c>
      <c r="D15" s="369" t="s">
        <v>34</v>
      </c>
      <c r="E15" s="351">
        <v>90.31</v>
      </c>
      <c r="F15" s="351">
        <v>90.31</v>
      </c>
      <c r="G15" s="351">
        <v>90.31</v>
      </c>
      <c r="H15" s="351">
        <v>90.31</v>
      </c>
      <c r="I15" s="351">
        <v>90.31</v>
      </c>
      <c r="J15" s="351">
        <v>90.31</v>
      </c>
      <c r="K15" s="351"/>
      <c r="L15" s="351"/>
      <c r="M15" s="351"/>
      <c r="N15" s="351"/>
      <c r="O15" s="351"/>
      <c r="P15" s="351"/>
      <c r="Q15" s="351"/>
      <c r="R15" s="351"/>
      <c r="S15" s="351"/>
      <c r="T15" s="351">
        <v>90.31</v>
      </c>
      <c r="U15" s="351"/>
      <c r="V15" s="351">
        <v>90.31</v>
      </c>
      <c r="W15" s="896" t="s">
        <v>208</v>
      </c>
      <c r="X15" s="894"/>
      <c r="Y15" s="839"/>
      <c r="Z15" s="894"/>
      <c r="AA15" s="839" t="s">
        <v>209</v>
      </c>
      <c r="AB15" s="839">
        <f>227071+64164</f>
        <v>291235</v>
      </c>
      <c r="AC15" s="839">
        <f>262455+73117</f>
        <v>335572</v>
      </c>
      <c r="AD15" s="839" t="s">
        <v>198</v>
      </c>
      <c r="AE15" s="839" t="s">
        <v>197</v>
      </c>
      <c r="AF15" s="839" t="s">
        <v>203</v>
      </c>
      <c r="AG15" s="839">
        <f>+AB15+AC15</f>
        <v>626807</v>
      </c>
      <c r="AH15" s="891"/>
      <c r="AK15" s="352">
        <v>12</v>
      </c>
      <c r="AL15" s="352" t="s">
        <v>35</v>
      </c>
      <c r="AM15" s="353"/>
      <c r="AN15" s="353"/>
      <c r="AO15" s="353"/>
      <c r="AP15" s="352" t="s">
        <v>555</v>
      </c>
      <c r="AQ15" s="353"/>
      <c r="AR15" s="353"/>
      <c r="AS15" s="353"/>
    </row>
    <row r="16" spans="1:92" ht="13.5" customHeight="1" x14ac:dyDescent="0.2">
      <c r="A16" s="783"/>
      <c r="B16" s="784"/>
      <c r="C16" s="781"/>
      <c r="D16" s="354" t="s">
        <v>36</v>
      </c>
      <c r="E16" s="355">
        <f>666937200/4+54000000+500000000</f>
        <v>720734300</v>
      </c>
      <c r="F16" s="355">
        <f t="shared" ref="F16:I16" si="3">666937200/4+54000000+500000000</f>
        <v>720734300</v>
      </c>
      <c r="G16" s="355">
        <f t="shared" si="3"/>
        <v>720734300</v>
      </c>
      <c r="H16" s="355">
        <f t="shared" si="3"/>
        <v>720734300</v>
      </c>
      <c r="I16" s="355">
        <f t="shared" si="3"/>
        <v>720734300</v>
      </c>
      <c r="J16" s="355">
        <v>704234300</v>
      </c>
      <c r="K16" s="62"/>
      <c r="L16" s="62"/>
      <c r="M16" s="62"/>
      <c r="N16" s="62"/>
      <c r="O16" s="62"/>
      <c r="P16" s="62"/>
      <c r="Q16" s="62"/>
      <c r="R16" s="62"/>
      <c r="S16" s="62"/>
      <c r="T16" s="367">
        <f>60004505/4</f>
        <v>15001126.25</v>
      </c>
      <c r="U16" s="62"/>
      <c r="V16" s="367">
        <v>51423149.75</v>
      </c>
      <c r="W16" s="897"/>
      <c r="X16" s="895"/>
      <c r="Y16" s="840"/>
      <c r="Z16" s="895"/>
      <c r="AA16" s="840"/>
      <c r="AB16" s="840"/>
      <c r="AC16" s="840"/>
      <c r="AD16" s="840"/>
      <c r="AE16" s="840"/>
      <c r="AF16" s="840"/>
      <c r="AG16" s="840"/>
      <c r="AH16" s="891"/>
      <c r="AK16" s="352">
        <v>13</v>
      </c>
      <c r="AL16" s="352" t="s">
        <v>556</v>
      </c>
      <c r="AM16" s="353"/>
      <c r="AN16" s="353"/>
      <c r="AO16" s="353"/>
      <c r="AP16" s="352" t="s">
        <v>557</v>
      </c>
      <c r="AQ16" s="353"/>
      <c r="AR16" s="353"/>
      <c r="AS16" s="353"/>
    </row>
    <row r="17" spans="1:45" ht="14.25" customHeight="1" x14ac:dyDescent="0.2">
      <c r="A17" s="783"/>
      <c r="B17" s="784"/>
      <c r="C17" s="781"/>
      <c r="D17" s="354" t="s">
        <v>37</v>
      </c>
      <c r="E17" s="63"/>
      <c r="F17" s="63"/>
      <c r="G17" s="63"/>
      <c r="H17" s="63"/>
      <c r="I17" s="63"/>
      <c r="J17" s="63"/>
      <c r="K17" s="63"/>
      <c r="L17" s="63"/>
      <c r="M17" s="63"/>
      <c r="N17" s="63"/>
      <c r="O17" s="63"/>
      <c r="P17" s="63"/>
      <c r="Q17" s="63"/>
      <c r="R17" s="63"/>
      <c r="S17" s="63"/>
      <c r="T17" s="367"/>
      <c r="U17" s="63"/>
      <c r="V17" s="367"/>
      <c r="W17" s="897"/>
      <c r="X17" s="895"/>
      <c r="Y17" s="840"/>
      <c r="Z17" s="895"/>
      <c r="AA17" s="840"/>
      <c r="AB17" s="840"/>
      <c r="AC17" s="840"/>
      <c r="AD17" s="840"/>
      <c r="AE17" s="840"/>
      <c r="AF17" s="840"/>
      <c r="AG17" s="840"/>
      <c r="AH17" s="891"/>
      <c r="AK17" s="352">
        <v>14</v>
      </c>
      <c r="AL17" s="352" t="s">
        <v>558</v>
      </c>
      <c r="AM17" s="353"/>
      <c r="AN17" s="353"/>
      <c r="AO17" s="353"/>
      <c r="AP17" s="352" t="s">
        <v>559</v>
      </c>
      <c r="AQ17" s="353"/>
      <c r="AR17" s="353"/>
      <c r="AS17" s="353"/>
    </row>
    <row r="18" spans="1:45" ht="23.25" thickBot="1" x14ac:dyDescent="0.25">
      <c r="A18" s="783"/>
      <c r="B18" s="784"/>
      <c r="C18" s="781"/>
      <c r="D18" s="368" t="s">
        <v>38</v>
      </c>
      <c r="E18" s="359">
        <f t="shared" ref="E18:I18" si="4">806623350/4+151708332/3+9774700</f>
        <v>261999981.5</v>
      </c>
      <c r="F18" s="359">
        <f t="shared" si="4"/>
        <v>261999981.5</v>
      </c>
      <c r="G18" s="359">
        <f t="shared" si="4"/>
        <v>261999981.5</v>
      </c>
      <c r="H18" s="359">
        <f t="shared" si="4"/>
        <v>261999981.5</v>
      </c>
      <c r="I18" s="359">
        <f t="shared" si="4"/>
        <v>261999981.5</v>
      </c>
      <c r="J18" s="359">
        <v>261999981.5</v>
      </c>
      <c r="K18" s="63"/>
      <c r="L18" s="63"/>
      <c r="M18" s="63"/>
      <c r="N18" s="63"/>
      <c r="O18" s="63"/>
      <c r="P18" s="63"/>
      <c r="Q18" s="63"/>
      <c r="R18" s="63"/>
      <c r="S18" s="63"/>
      <c r="T18" s="367">
        <f>198577082.1/4+226212263/3</f>
        <v>125048358.19166666</v>
      </c>
      <c r="U18" s="63"/>
      <c r="V18" s="367">
        <f>60739229.75+353867831/3</f>
        <v>178695173.41666669</v>
      </c>
      <c r="W18" s="898"/>
      <c r="X18" s="899"/>
      <c r="Y18" s="841"/>
      <c r="Z18" s="899"/>
      <c r="AA18" s="841"/>
      <c r="AB18" s="841"/>
      <c r="AC18" s="841"/>
      <c r="AD18" s="841"/>
      <c r="AE18" s="841"/>
      <c r="AF18" s="841"/>
      <c r="AG18" s="841"/>
      <c r="AH18" s="891"/>
      <c r="AK18" s="352"/>
      <c r="AL18" s="352"/>
      <c r="AM18" s="353"/>
      <c r="AN18" s="353"/>
      <c r="AO18" s="353"/>
      <c r="AP18" s="352"/>
      <c r="AQ18" s="353"/>
      <c r="AR18" s="353"/>
      <c r="AS18" s="353"/>
    </row>
    <row r="19" spans="1:45" ht="13.5" customHeight="1" x14ac:dyDescent="0.2">
      <c r="A19" s="783"/>
      <c r="B19" s="784"/>
      <c r="C19" s="781" t="s">
        <v>206</v>
      </c>
      <c r="D19" s="369" t="s">
        <v>34</v>
      </c>
      <c r="E19" s="351">
        <v>88.29</v>
      </c>
      <c r="F19" s="351">
        <v>88.29</v>
      </c>
      <c r="G19" s="351">
        <v>88.29</v>
      </c>
      <c r="H19" s="351">
        <v>88.29</v>
      </c>
      <c r="I19" s="351">
        <v>88.29</v>
      </c>
      <c r="J19" s="351">
        <v>88.29</v>
      </c>
      <c r="K19" s="351"/>
      <c r="L19" s="351"/>
      <c r="M19" s="351"/>
      <c r="N19" s="351"/>
      <c r="O19" s="351"/>
      <c r="P19" s="351"/>
      <c r="Q19" s="351"/>
      <c r="R19" s="351"/>
      <c r="S19" s="351"/>
      <c r="T19" s="351">
        <v>88.29</v>
      </c>
      <c r="U19" s="351"/>
      <c r="V19" s="351">
        <v>88.29</v>
      </c>
      <c r="W19" s="896" t="s">
        <v>210</v>
      </c>
      <c r="X19" s="894"/>
      <c r="Y19" s="839"/>
      <c r="Z19" s="894"/>
      <c r="AA19" s="839" t="s">
        <v>209</v>
      </c>
      <c r="AB19" s="839">
        <f>227071+64164+55287+414666+544454+114441+69896</f>
        <v>1489979</v>
      </c>
      <c r="AC19" s="839">
        <f>262455+73117+54687+452053+602531+123939+80340</f>
        <v>1649122</v>
      </c>
      <c r="AD19" s="839" t="s">
        <v>198</v>
      </c>
      <c r="AE19" s="839" t="s">
        <v>197</v>
      </c>
      <c r="AF19" s="839" t="s">
        <v>203</v>
      </c>
      <c r="AG19" s="839">
        <f>+AB19+AC19</f>
        <v>3139101</v>
      </c>
      <c r="AH19" s="891"/>
      <c r="AK19" s="352">
        <v>12</v>
      </c>
      <c r="AL19" s="352" t="s">
        <v>35</v>
      </c>
      <c r="AM19" s="353"/>
      <c r="AN19" s="353"/>
      <c r="AO19" s="353"/>
      <c r="AP19" s="352" t="s">
        <v>555</v>
      </c>
      <c r="AQ19" s="353"/>
      <c r="AR19" s="353"/>
      <c r="AS19" s="353"/>
    </row>
    <row r="20" spans="1:45" ht="13.5" customHeight="1" x14ac:dyDescent="0.2">
      <c r="A20" s="783"/>
      <c r="B20" s="784"/>
      <c r="C20" s="781"/>
      <c r="D20" s="354" t="s">
        <v>36</v>
      </c>
      <c r="E20" s="355">
        <f>666937200/4+54000000+200000000</f>
        <v>420734300</v>
      </c>
      <c r="F20" s="355">
        <f t="shared" ref="F20:I20" si="5">666937200/4+54000000+200000000</f>
        <v>420734300</v>
      </c>
      <c r="G20" s="355">
        <f t="shared" si="5"/>
        <v>420734300</v>
      </c>
      <c r="H20" s="355">
        <f t="shared" si="5"/>
        <v>420734300</v>
      </c>
      <c r="I20" s="355">
        <f t="shared" si="5"/>
        <v>420734300</v>
      </c>
      <c r="J20" s="355">
        <v>404234300</v>
      </c>
      <c r="K20" s="62"/>
      <c r="L20" s="62"/>
      <c r="M20" s="62"/>
      <c r="N20" s="62"/>
      <c r="O20" s="62"/>
      <c r="P20" s="62"/>
      <c r="Q20" s="62"/>
      <c r="R20" s="62"/>
      <c r="S20" s="62"/>
      <c r="T20" s="367">
        <f>60004505/4</f>
        <v>15001126.25</v>
      </c>
      <c r="U20" s="62"/>
      <c r="V20" s="367">
        <v>51423149.75</v>
      </c>
      <c r="W20" s="897"/>
      <c r="X20" s="895"/>
      <c r="Y20" s="840"/>
      <c r="Z20" s="895"/>
      <c r="AA20" s="840"/>
      <c r="AB20" s="840"/>
      <c r="AC20" s="840"/>
      <c r="AD20" s="840"/>
      <c r="AE20" s="840"/>
      <c r="AF20" s="840"/>
      <c r="AG20" s="840"/>
      <c r="AH20" s="891"/>
      <c r="AK20" s="352">
        <v>13</v>
      </c>
      <c r="AL20" s="352" t="s">
        <v>556</v>
      </c>
      <c r="AM20" s="353"/>
      <c r="AN20" s="353"/>
      <c r="AO20" s="353"/>
      <c r="AP20" s="352" t="s">
        <v>557</v>
      </c>
      <c r="AQ20" s="353"/>
      <c r="AR20" s="353"/>
      <c r="AS20" s="353"/>
    </row>
    <row r="21" spans="1:45" ht="14.25" customHeight="1" x14ac:dyDescent="0.2">
      <c r="A21" s="783"/>
      <c r="B21" s="784"/>
      <c r="C21" s="781"/>
      <c r="D21" s="354" t="s">
        <v>37</v>
      </c>
      <c r="E21" s="63"/>
      <c r="F21" s="63"/>
      <c r="G21" s="63"/>
      <c r="H21" s="63"/>
      <c r="I21" s="63"/>
      <c r="J21" s="63"/>
      <c r="K21" s="63"/>
      <c r="L21" s="63"/>
      <c r="M21" s="63"/>
      <c r="N21" s="63"/>
      <c r="O21" s="63"/>
      <c r="P21" s="63"/>
      <c r="Q21" s="63"/>
      <c r="R21" s="63"/>
      <c r="S21" s="63"/>
      <c r="T21" s="367"/>
      <c r="U21" s="63"/>
      <c r="V21" s="367"/>
      <c r="W21" s="897"/>
      <c r="X21" s="895"/>
      <c r="Y21" s="840"/>
      <c r="Z21" s="895"/>
      <c r="AA21" s="840"/>
      <c r="AB21" s="840"/>
      <c r="AC21" s="840"/>
      <c r="AD21" s="840"/>
      <c r="AE21" s="840"/>
      <c r="AF21" s="840"/>
      <c r="AG21" s="840"/>
      <c r="AH21" s="891"/>
      <c r="AK21" s="352">
        <v>14</v>
      </c>
      <c r="AL21" s="352" t="s">
        <v>558</v>
      </c>
      <c r="AM21" s="353"/>
      <c r="AN21" s="353"/>
      <c r="AO21" s="353"/>
      <c r="AP21" s="352" t="s">
        <v>559</v>
      </c>
      <c r="AQ21" s="353"/>
      <c r="AR21" s="353"/>
      <c r="AS21" s="353"/>
    </row>
    <row r="22" spans="1:45" ht="23.25" thickBot="1" x14ac:dyDescent="0.25">
      <c r="A22" s="783"/>
      <c r="B22" s="784"/>
      <c r="C22" s="781"/>
      <c r="D22" s="368" t="s">
        <v>38</v>
      </c>
      <c r="E22" s="359">
        <f t="shared" ref="E22:I22" si="6">806623350/4+151708332/3</f>
        <v>252225281.5</v>
      </c>
      <c r="F22" s="359">
        <f t="shared" si="6"/>
        <v>252225281.5</v>
      </c>
      <c r="G22" s="359">
        <f t="shared" si="6"/>
        <v>252225281.5</v>
      </c>
      <c r="H22" s="359">
        <f t="shared" si="6"/>
        <v>252225281.5</v>
      </c>
      <c r="I22" s="359">
        <f t="shared" si="6"/>
        <v>252225281.5</v>
      </c>
      <c r="J22" s="359">
        <v>252225281.5</v>
      </c>
      <c r="K22" s="63"/>
      <c r="L22" s="63"/>
      <c r="M22" s="63"/>
      <c r="N22" s="63"/>
      <c r="O22" s="63"/>
      <c r="P22" s="63"/>
      <c r="Q22" s="63"/>
      <c r="R22" s="63"/>
      <c r="S22" s="63"/>
      <c r="T22" s="367">
        <f>198577082.1/4+226212263/3</f>
        <v>125048358.19166666</v>
      </c>
      <c r="U22" s="63"/>
      <c r="V22" s="367">
        <f>60739229.75+353867831/3</f>
        <v>178695173.41666669</v>
      </c>
      <c r="W22" s="898"/>
      <c r="X22" s="899"/>
      <c r="Y22" s="841"/>
      <c r="Z22" s="899"/>
      <c r="AA22" s="841"/>
      <c r="AB22" s="841"/>
      <c r="AC22" s="841"/>
      <c r="AD22" s="841"/>
      <c r="AE22" s="841"/>
      <c r="AF22" s="841"/>
      <c r="AG22" s="841"/>
      <c r="AH22" s="891"/>
      <c r="AK22" s="352"/>
      <c r="AL22" s="352"/>
      <c r="AM22" s="353"/>
      <c r="AN22" s="353"/>
      <c r="AO22" s="353"/>
      <c r="AP22" s="352"/>
      <c r="AQ22" s="353"/>
      <c r="AR22" s="353"/>
      <c r="AS22" s="353"/>
    </row>
    <row r="23" spans="1:45" ht="13.5" customHeight="1" x14ac:dyDescent="0.2">
      <c r="A23" s="783"/>
      <c r="B23" s="784"/>
      <c r="C23" s="781" t="s">
        <v>207</v>
      </c>
      <c r="D23" s="369" t="s">
        <v>34</v>
      </c>
      <c r="E23" s="351">
        <v>20.11</v>
      </c>
      <c r="F23" s="351">
        <v>20.11</v>
      </c>
      <c r="G23" s="351">
        <v>20.11</v>
      </c>
      <c r="H23" s="351">
        <v>20.11</v>
      </c>
      <c r="I23" s="351">
        <v>20.11</v>
      </c>
      <c r="J23" s="351">
        <v>20.11</v>
      </c>
      <c r="K23" s="351"/>
      <c r="L23" s="351"/>
      <c r="M23" s="351"/>
      <c r="N23" s="351"/>
      <c r="O23" s="351"/>
      <c r="P23" s="351"/>
      <c r="Q23" s="351"/>
      <c r="R23" s="351"/>
      <c r="S23" s="351"/>
      <c r="T23" s="351">
        <v>20.11</v>
      </c>
      <c r="U23" s="351"/>
      <c r="V23" s="351">
        <v>20.11</v>
      </c>
      <c r="W23" s="885" t="s">
        <v>211</v>
      </c>
      <c r="X23" s="894"/>
      <c r="Y23" s="839"/>
      <c r="Z23" s="894"/>
      <c r="AA23" s="839" t="s">
        <v>209</v>
      </c>
      <c r="AB23" s="839">
        <f>198924+55287+12784+49712+184898+126417+69896+514716+175668</f>
        <v>1388302</v>
      </c>
      <c r="AC23" s="839">
        <f>208492+54687+11356+48925+191162+131737+80340+540134+195308</f>
        <v>1462141</v>
      </c>
      <c r="AD23" s="839" t="s">
        <v>198</v>
      </c>
      <c r="AE23" s="839" t="s">
        <v>197</v>
      </c>
      <c r="AF23" s="839" t="s">
        <v>203</v>
      </c>
      <c r="AG23" s="839">
        <f>+AB23+AC23</f>
        <v>2850443</v>
      </c>
      <c r="AH23" s="891"/>
      <c r="AK23" s="352">
        <v>12</v>
      </c>
      <c r="AL23" s="352" t="s">
        <v>35</v>
      </c>
      <c r="AM23" s="353"/>
      <c r="AN23" s="353"/>
      <c r="AO23" s="353"/>
      <c r="AP23" s="352" t="s">
        <v>555</v>
      </c>
      <c r="AQ23" s="353"/>
      <c r="AR23" s="353"/>
      <c r="AS23" s="353"/>
    </row>
    <row r="24" spans="1:45" ht="13.5" customHeight="1" x14ac:dyDescent="0.2">
      <c r="A24" s="783"/>
      <c r="B24" s="784"/>
      <c r="C24" s="781"/>
      <c r="D24" s="354" t="s">
        <v>36</v>
      </c>
      <c r="E24" s="355">
        <f>666937200/4+54000000</f>
        <v>220734300</v>
      </c>
      <c r="F24" s="355">
        <f t="shared" ref="F24:I24" si="7">666937200/4+54000000</f>
        <v>220734300</v>
      </c>
      <c r="G24" s="355">
        <f t="shared" si="7"/>
        <v>220734300</v>
      </c>
      <c r="H24" s="355">
        <f t="shared" si="7"/>
        <v>220734300</v>
      </c>
      <c r="I24" s="355">
        <f t="shared" si="7"/>
        <v>220734300</v>
      </c>
      <c r="J24" s="355">
        <v>204234300</v>
      </c>
      <c r="K24" s="62"/>
      <c r="L24" s="62"/>
      <c r="M24" s="62"/>
      <c r="N24" s="62"/>
      <c r="O24" s="62"/>
      <c r="P24" s="62"/>
      <c r="Q24" s="62"/>
      <c r="R24" s="62"/>
      <c r="S24" s="62"/>
      <c r="T24" s="367">
        <f>60004505/4</f>
        <v>15001126.25</v>
      </c>
      <c r="U24" s="62"/>
      <c r="V24" s="367">
        <v>51423149.75</v>
      </c>
      <c r="W24" s="887"/>
      <c r="X24" s="895"/>
      <c r="Y24" s="840"/>
      <c r="Z24" s="895"/>
      <c r="AA24" s="840"/>
      <c r="AB24" s="840"/>
      <c r="AC24" s="840"/>
      <c r="AD24" s="840"/>
      <c r="AE24" s="840"/>
      <c r="AF24" s="840"/>
      <c r="AG24" s="840"/>
      <c r="AH24" s="891"/>
      <c r="AK24" s="352">
        <v>13</v>
      </c>
      <c r="AL24" s="352" t="s">
        <v>556</v>
      </c>
      <c r="AM24" s="353"/>
      <c r="AN24" s="353"/>
      <c r="AO24" s="353"/>
      <c r="AP24" s="352" t="s">
        <v>557</v>
      </c>
      <c r="AQ24" s="353"/>
      <c r="AR24" s="353"/>
      <c r="AS24" s="353"/>
    </row>
    <row r="25" spans="1:45" ht="14.25" customHeight="1" x14ac:dyDescent="0.2">
      <c r="A25" s="783"/>
      <c r="B25" s="784"/>
      <c r="C25" s="781"/>
      <c r="D25" s="354" t="s">
        <v>37</v>
      </c>
      <c r="E25" s="63"/>
      <c r="F25" s="63"/>
      <c r="G25" s="63"/>
      <c r="H25" s="63"/>
      <c r="I25" s="63"/>
      <c r="J25" s="63"/>
      <c r="K25" s="63"/>
      <c r="L25" s="63"/>
      <c r="M25" s="63"/>
      <c r="N25" s="63"/>
      <c r="O25" s="63"/>
      <c r="P25" s="63"/>
      <c r="Q25" s="63"/>
      <c r="R25" s="63"/>
      <c r="S25" s="63"/>
      <c r="T25" s="367"/>
      <c r="U25" s="63"/>
      <c r="V25" s="367"/>
      <c r="W25" s="887"/>
      <c r="X25" s="895"/>
      <c r="Y25" s="840"/>
      <c r="Z25" s="895"/>
      <c r="AA25" s="840"/>
      <c r="AB25" s="840"/>
      <c r="AC25" s="840"/>
      <c r="AD25" s="840"/>
      <c r="AE25" s="840"/>
      <c r="AF25" s="840"/>
      <c r="AG25" s="840"/>
      <c r="AH25" s="891"/>
      <c r="AK25" s="352">
        <v>14</v>
      </c>
      <c r="AL25" s="352" t="s">
        <v>558</v>
      </c>
      <c r="AM25" s="353"/>
      <c r="AN25" s="353"/>
      <c r="AO25" s="353"/>
      <c r="AP25" s="352" t="s">
        <v>559</v>
      </c>
      <c r="AQ25" s="353"/>
      <c r="AR25" s="353"/>
      <c r="AS25" s="353"/>
    </row>
    <row r="26" spans="1:45" ht="23.25" thickBot="1" x14ac:dyDescent="0.25">
      <c r="A26" s="783"/>
      <c r="B26" s="784"/>
      <c r="C26" s="781"/>
      <c r="D26" s="368" t="s">
        <v>38</v>
      </c>
      <c r="E26" s="359">
        <f t="shared" ref="E26:I26" si="8">806623350/4+198000000</f>
        <v>399655837.5</v>
      </c>
      <c r="F26" s="359">
        <f t="shared" si="8"/>
        <v>399655837.5</v>
      </c>
      <c r="G26" s="359">
        <f t="shared" si="8"/>
        <v>399655837.5</v>
      </c>
      <c r="H26" s="359">
        <f t="shared" si="8"/>
        <v>399655837.5</v>
      </c>
      <c r="I26" s="359">
        <f t="shared" si="8"/>
        <v>399655837.5</v>
      </c>
      <c r="J26" s="359">
        <v>399655837.5</v>
      </c>
      <c r="K26" s="63"/>
      <c r="L26" s="63"/>
      <c r="M26" s="63"/>
      <c r="N26" s="63"/>
      <c r="O26" s="63"/>
      <c r="P26" s="63"/>
      <c r="Q26" s="63"/>
      <c r="R26" s="63"/>
      <c r="S26" s="63"/>
      <c r="T26" s="367">
        <f>198577082.1/4+108000000</f>
        <v>157644270.52500001</v>
      </c>
      <c r="U26" s="63"/>
      <c r="V26" s="367">
        <f>60739229.75+120133400</f>
        <v>180872629.75</v>
      </c>
      <c r="W26" s="887"/>
      <c r="X26" s="895"/>
      <c r="Y26" s="840"/>
      <c r="Z26" s="895"/>
      <c r="AA26" s="840"/>
      <c r="AB26" s="840"/>
      <c r="AC26" s="840"/>
      <c r="AD26" s="840"/>
      <c r="AE26" s="840"/>
      <c r="AF26" s="840"/>
      <c r="AG26" s="840"/>
      <c r="AH26" s="892"/>
      <c r="AK26" s="352"/>
      <c r="AL26" s="352"/>
      <c r="AM26" s="353"/>
      <c r="AN26" s="353"/>
      <c r="AO26" s="353"/>
      <c r="AP26" s="352"/>
      <c r="AQ26" s="353"/>
      <c r="AR26" s="353"/>
      <c r="AS26" s="353"/>
    </row>
    <row r="27" spans="1:45" ht="13.5" customHeight="1" x14ac:dyDescent="0.2">
      <c r="A27" s="783"/>
      <c r="B27" s="784"/>
      <c r="C27" s="781" t="s">
        <v>337</v>
      </c>
      <c r="D27" s="369" t="s">
        <v>34</v>
      </c>
      <c r="E27" s="351">
        <f t="shared" ref="E27:I27" si="9">+E11+E15+E19+E23</f>
        <v>234.3</v>
      </c>
      <c r="F27" s="351">
        <f t="shared" si="9"/>
        <v>234.3</v>
      </c>
      <c r="G27" s="351">
        <f t="shared" si="9"/>
        <v>234.3</v>
      </c>
      <c r="H27" s="351">
        <f t="shared" si="9"/>
        <v>234.3</v>
      </c>
      <c r="I27" s="351">
        <f t="shared" si="9"/>
        <v>234.3</v>
      </c>
      <c r="J27" s="351">
        <v>234.3</v>
      </c>
      <c r="K27" s="351"/>
      <c r="L27" s="351"/>
      <c r="M27" s="351"/>
      <c r="N27" s="351"/>
      <c r="O27" s="351"/>
      <c r="P27" s="351"/>
      <c r="Q27" s="351"/>
      <c r="R27" s="351"/>
      <c r="S27" s="351"/>
      <c r="T27" s="351">
        <f>+T11+T15+T19+T23</f>
        <v>232.46000000000004</v>
      </c>
      <c r="U27" s="351"/>
      <c r="V27" s="351">
        <f>+V11+V15+V19+V23</f>
        <v>236.46000000000004</v>
      </c>
      <c r="W27" s="893"/>
      <c r="X27" s="893"/>
      <c r="Y27" s="889"/>
      <c r="Z27" s="893"/>
      <c r="AA27" s="889"/>
      <c r="AB27" s="370"/>
      <c r="AC27" s="370"/>
      <c r="AD27" s="370"/>
      <c r="AE27" s="371"/>
      <c r="AF27" s="371"/>
      <c r="AG27" s="371"/>
      <c r="AH27" s="371"/>
      <c r="AK27" s="352">
        <v>12</v>
      </c>
      <c r="AL27" s="352" t="s">
        <v>35</v>
      </c>
      <c r="AM27" s="353"/>
      <c r="AN27" s="353"/>
      <c r="AO27" s="353"/>
      <c r="AP27" s="352" t="s">
        <v>555</v>
      </c>
      <c r="AQ27" s="353"/>
      <c r="AR27" s="353"/>
      <c r="AS27" s="353"/>
    </row>
    <row r="28" spans="1:45" ht="13.5" customHeight="1" thickBot="1" x14ac:dyDescent="0.25">
      <c r="A28" s="783"/>
      <c r="B28" s="784"/>
      <c r="C28" s="781"/>
      <c r="D28" s="354" t="s">
        <v>36</v>
      </c>
      <c r="E28" s="355">
        <f t="shared" ref="E28:I30" si="10">E12+E16+E20+E24</f>
        <v>1848739000</v>
      </c>
      <c r="F28" s="355">
        <f t="shared" si="10"/>
        <v>1848739000</v>
      </c>
      <c r="G28" s="355">
        <f t="shared" si="10"/>
        <v>1848739000</v>
      </c>
      <c r="H28" s="355">
        <f t="shared" si="10"/>
        <v>1848739000</v>
      </c>
      <c r="I28" s="355">
        <f t="shared" si="10"/>
        <v>1848739000</v>
      </c>
      <c r="J28" s="355">
        <v>1782739000</v>
      </c>
      <c r="K28" s="62"/>
      <c r="L28" s="62"/>
      <c r="M28" s="62"/>
      <c r="N28" s="62"/>
      <c r="O28" s="62"/>
      <c r="P28" s="62"/>
      <c r="Q28" s="62"/>
      <c r="R28" s="62"/>
      <c r="S28" s="62"/>
      <c r="T28" s="367">
        <f>+T24+T20+T16+T12</f>
        <v>60004505</v>
      </c>
      <c r="U28" s="62"/>
      <c r="V28" s="367">
        <f>+V24+V20+V16+V12</f>
        <v>205692599</v>
      </c>
      <c r="W28" s="893"/>
      <c r="X28" s="893"/>
      <c r="Y28" s="889"/>
      <c r="Z28" s="893"/>
      <c r="AA28" s="889"/>
      <c r="AB28" s="370"/>
      <c r="AC28" s="370"/>
      <c r="AD28" s="370"/>
      <c r="AE28" s="371"/>
      <c r="AF28" s="371"/>
      <c r="AG28" s="371"/>
      <c r="AH28" s="371"/>
      <c r="AK28" s="352">
        <v>13</v>
      </c>
      <c r="AL28" s="352" t="s">
        <v>556</v>
      </c>
      <c r="AM28" s="353"/>
      <c r="AN28" s="353"/>
      <c r="AO28" s="353"/>
      <c r="AP28" s="352" t="s">
        <v>557</v>
      </c>
      <c r="AQ28" s="353"/>
      <c r="AR28" s="353"/>
      <c r="AS28" s="353"/>
    </row>
    <row r="29" spans="1:45" ht="14.25" customHeight="1" x14ac:dyDescent="0.2">
      <c r="A29" s="783"/>
      <c r="B29" s="784"/>
      <c r="C29" s="781"/>
      <c r="D29" s="354" t="s">
        <v>37</v>
      </c>
      <c r="E29" s="372">
        <f t="shared" si="10"/>
        <v>0</v>
      </c>
      <c r="F29" s="372">
        <f t="shared" si="10"/>
        <v>0</v>
      </c>
      <c r="G29" s="372">
        <f t="shared" si="10"/>
        <v>0</v>
      </c>
      <c r="H29" s="372">
        <f t="shared" si="10"/>
        <v>0</v>
      </c>
      <c r="I29" s="372">
        <f t="shared" si="10"/>
        <v>0</v>
      </c>
      <c r="J29" s="372">
        <v>0</v>
      </c>
      <c r="K29" s="63"/>
      <c r="L29" s="63"/>
      <c r="M29" s="63"/>
      <c r="N29" s="63"/>
      <c r="O29" s="63"/>
      <c r="P29" s="63"/>
      <c r="Q29" s="63"/>
      <c r="R29" s="63"/>
      <c r="S29" s="63"/>
      <c r="T29" s="367"/>
      <c r="U29" s="63"/>
      <c r="V29" s="63"/>
      <c r="W29" s="893"/>
      <c r="X29" s="893"/>
      <c r="Y29" s="889"/>
      <c r="Z29" s="893"/>
      <c r="AA29" s="889"/>
      <c r="AB29" s="370"/>
      <c r="AC29" s="370"/>
      <c r="AD29" s="370"/>
      <c r="AE29" s="371"/>
      <c r="AF29" s="371"/>
      <c r="AG29" s="371"/>
      <c r="AH29" s="371"/>
      <c r="AK29" s="352">
        <v>14</v>
      </c>
      <c r="AL29" s="352" t="s">
        <v>558</v>
      </c>
      <c r="AM29" s="353"/>
      <c r="AN29" s="353"/>
      <c r="AO29" s="353"/>
      <c r="AP29" s="352" t="s">
        <v>559</v>
      </c>
      <c r="AQ29" s="353"/>
      <c r="AR29" s="353"/>
      <c r="AS29" s="353"/>
    </row>
    <row r="30" spans="1:45" ht="23.25" thickBot="1" x14ac:dyDescent="0.25">
      <c r="A30" s="807"/>
      <c r="B30" s="833"/>
      <c r="C30" s="879"/>
      <c r="D30" s="358" t="s">
        <v>38</v>
      </c>
      <c r="E30" s="359">
        <f t="shared" si="10"/>
        <v>1166106382</v>
      </c>
      <c r="F30" s="359">
        <f t="shared" si="10"/>
        <v>1166106382</v>
      </c>
      <c r="G30" s="359">
        <f t="shared" si="10"/>
        <v>1166106382</v>
      </c>
      <c r="H30" s="359">
        <f t="shared" si="10"/>
        <v>1166106382</v>
      </c>
      <c r="I30" s="359">
        <f t="shared" si="10"/>
        <v>1166106382</v>
      </c>
      <c r="J30" s="359">
        <v>1165769915.6700001</v>
      </c>
      <c r="K30" s="360"/>
      <c r="L30" s="360"/>
      <c r="M30" s="360"/>
      <c r="N30" s="360"/>
      <c r="O30" s="360"/>
      <c r="P30" s="360"/>
      <c r="Q30" s="360"/>
      <c r="R30" s="360"/>
      <c r="S30" s="360"/>
      <c r="T30" s="367">
        <f>+T14+T18+T22+T26</f>
        <v>532789345.10000002</v>
      </c>
      <c r="U30" s="367">
        <f t="shared" ref="U30:V30" si="11">+U14+U18+U22+U26</f>
        <v>0</v>
      </c>
      <c r="V30" s="367">
        <f t="shared" si="11"/>
        <v>719718550</v>
      </c>
      <c r="W30" s="893"/>
      <c r="X30" s="893"/>
      <c r="Y30" s="889"/>
      <c r="Z30" s="893"/>
      <c r="AA30" s="889"/>
      <c r="AB30" s="370"/>
      <c r="AC30" s="370"/>
      <c r="AD30" s="370"/>
      <c r="AE30" s="371"/>
      <c r="AF30" s="371"/>
      <c r="AG30" s="371"/>
      <c r="AH30" s="371"/>
      <c r="AK30" s="352"/>
      <c r="AL30" s="352"/>
      <c r="AM30" s="353"/>
      <c r="AN30" s="353"/>
      <c r="AO30" s="353"/>
      <c r="AP30" s="352"/>
      <c r="AQ30" s="353"/>
      <c r="AR30" s="353"/>
      <c r="AS30" s="353"/>
    </row>
    <row r="31" spans="1:45" ht="36.75" customHeight="1" x14ac:dyDescent="0.2">
      <c r="A31" s="857">
        <v>4</v>
      </c>
      <c r="B31" s="859" t="s">
        <v>560</v>
      </c>
      <c r="C31" s="859" t="s">
        <v>213</v>
      </c>
      <c r="D31" s="364" t="s">
        <v>34</v>
      </c>
      <c r="E31" s="351">
        <v>331.13</v>
      </c>
      <c r="F31" s="351">
        <v>331.13</v>
      </c>
      <c r="G31" s="351">
        <v>331.13</v>
      </c>
      <c r="H31" s="351">
        <v>331.13</v>
      </c>
      <c r="I31" s="351">
        <v>331.13</v>
      </c>
      <c r="J31" s="351">
        <v>331.13</v>
      </c>
      <c r="K31" s="351"/>
      <c r="L31" s="351"/>
      <c r="M31" s="351"/>
      <c r="N31" s="351"/>
      <c r="O31" s="351"/>
      <c r="P31" s="351"/>
      <c r="Q31" s="351"/>
      <c r="R31" s="351"/>
      <c r="S31" s="351"/>
      <c r="T31" s="351">
        <v>327.06</v>
      </c>
      <c r="U31" s="351"/>
      <c r="V31" s="351">
        <f>327.06+4</f>
        <v>331.06</v>
      </c>
      <c r="W31" s="887" t="s">
        <v>329</v>
      </c>
      <c r="X31" s="887"/>
      <c r="Y31" s="887"/>
      <c r="Z31" s="887"/>
      <c r="AA31" s="887" t="s">
        <v>330</v>
      </c>
      <c r="AB31" s="887" t="s">
        <v>331</v>
      </c>
      <c r="AC31" s="887" t="s">
        <v>332</v>
      </c>
      <c r="AD31" s="887" t="s">
        <v>202</v>
      </c>
      <c r="AE31" s="887" t="s">
        <v>197</v>
      </c>
      <c r="AF31" s="887" t="s">
        <v>203</v>
      </c>
      <c r="AG31" s="887" t="s">
        <v>333</v>
      </c>
      <c r="AH31" s="883"/>
      <c r="AK31" s="352">
        <v>12</v>
      </c>
      <c r="AL31" s="352" t="s">
        <v>35</v>
      </c>
      <c r="AM31" s="353"/>
      <c r="AN31" s="353"/>
      <c r="AO31" s="353"/>
      <c r="AP31" s="352" t="s">
        <v>555</v>
      </c>
      <c r="AQ31" s="353"/>
      <c r="AR31" s="353"/>
      <c r="AS31" s="353"/>
    </row>
    <row r="32" spans="1:45" ht="36.75" customHeight="1" x14ac:dyDescent="0.2">
      <c r="A32" s="783"/>
      <c r="B32" s="784"/>
      <c r="C32" s="784"/>
      <c r="D32" s="354" t="s">
        <v>36</v>
      </c>
      <c r="E32" s="355">
        <v>303644000</v>
      </c>
      <c r="F32" s="355">
        <v>303644000</v>
      </c>
      <c r="G32" s="355">
        <v>303644000</v>
      </c>
      <c r="H32" s="355">
        <v>303644000</v>
      </c>
      <c r="I32" s="355">
        <v>303644000</v>
      </c>
      <c r="J32" s="355">
        <v>303644000</v>
      </c>
      <c r="K32" s="62"/>
      <c r="L32" s="62"/>
      <c r="M32" s="62"/>
      <c r="N32" s="62"/>
      <c r="O32" s="62"/>
      <c r="P32" s="62"/>
      <c r="Q32" s="62"/>
      <c r="R32" s="62"/>
      <c r="S32" s="62"/>
      <c r="T32" s="366">
        <v>12348876</v>
      </c>
      <c r="U32" s="62"/>
      <c r="V32" s="366">
        <v>18693058</v>
      </c>
      <c r="W32" s="887"/>
      <c r="X32" s="887"/>
      <c r="Y32" s="887"/>
      <c r="Z32" s="887"/>
      <c r="AA32" s="887"/>
      <c r="AB32" s="887"/>
      <c r="AC32" s="887"/>
      <c r="AD32" s="887"/>
      <c r="AE32" s="887"/>
      <c r="AF32" s="887"/>
      <c r="AG32" s="887"/>
      <c r="AH32" s="884"/>
      <c r="AK32" s="352">
        <v>13</v>
      </c>
      <c r="AL32" s="352" t="s">
        <v>556</v>
      </c>
      <c r="AM32" s="353"/>
      <c r="AN32" s="353"/>
      <c r="AO32" s="353"/>
      <c r="AP32" s="352" t="s">
        <v>557</v>
      </c>
      <c r="AQ32" s="353"/>
      <c r="AR32" s="353"/>
      <c r="AS32" s="353"/>
    </row>
    <row r="33" spans="1:92" ht="36.75" customHeight="1" x14ac:dyDescent="0.2">
      <c r="A33" s="783"/>
      <c r="B33" s="784"/>
      <c r="C33" s="890"/>
      <c r="D33" s="354" t="s">
        <v>37</v>
      </c>
      <c r="E33" s="357"/>
      <c r="F33" s="357"/>
      <c r="G33" s="357"/>
      <c r="H33" s="357"/>
      <c r="I33" s="357"/>
      <c r="J33" s="357"/>
      <c r="K33" s="63"/>
      <c r="L33" s="63"/>
      <c r="M33" s="63"/>
      <c r="N33" s="63"/>
      <c r="O33" s="63"/>
      <c r="P33" s="63"/>
      <c r="Q33" s="63"/>
      <c r="R33" s="63"/>
      <c r="S33" s="63"/>
      <c r="T33" s="357"/>
      <c r="U33" s="63"/>
      <c r="V33" s="63"/>
      <c r="W33" s="887"/>
      <c r="X33" s="887"/>
      <c r="Y33" s="887"/>
      <c r="Z33" s="887"/>
      <c r="AA33" s="887"/>
      <c r="AB33" s="887"/>
      <c r="AC33" s="887"/>
      <c r="AD33" s="887"/>
      <c r="AE33" s="887"/>
      <c r="AF33" s="887"/>
      <c r="AG33" s="887"/>
      <c r="AH33" s="884"/>
      <c r="AK33" s="352">
        <v>14</v>
      </c>
      <c r="AL33" s="352" t="s">
        <v>558</v>
      </c>
      <c r="AM33" s="353"/>
      <c r="AN33" s="353"/>
      <c r="AO33" s="353"/>
      <c r="AP33" s="352" t="s">
        <v>559</v>
      </c>
      <c r="AQ33" s="353"/>
      <c r="AR33" s="353"/>
      <c r="AS33" s="353"/>
    </row>
    <row r="34" spans="1:92" ht="36.75" customHeight="1" thickBot="1" x14ac:dyDescent="0.25">
      <c r="A34" s="807"/>
      <c r="B34" s="833"/>
      <c r="C34" s="833"/>
      <c r="D34" s="358" t="s">
        <v>38</v>
      </c>
      <c r="E34" s="363">
        <v>216187025</v>
      </c>
      <c r="F34" s="363">
        <v>216187025</v>
      </c>
      <c r="G34" s="363">
        <v>216187025</v>
      </c>
      <c r="H34" s="363">
        <v>216187025</v>
      </c>
      <c r="I34" s="363">
        <v>216187025</v>
      </c>
      <c r="J34" s="363">
        <v>216187025</v>
      </c>
      <c r="K34" s="362"/>
      <c r="L34" s="362"/>
      <c r="M34" s="362"/>
      <c r="N34" s="362"/>
      <c r="O34" s="362"/>
      <c r="P34" s="362"/>
      <c r="Q34" s="362"/>
      <c r="R34" s="362"/>
      <c r="S34" s="362"/>
      <c r="T34" s="361">
        <v>38400117</v>
      </c>
      <c r="U34" s="361">
        <v>38400117</v>
      </c>
      <c r="V34" s="361">
        <v>38400117</v>
      </c>
      <c r="W34" s="888"/>
      <c r="X34" s="888"/>
      <c r="Y34" s="888"/>
      <c r="Z34" s="888"/>
      <c r="AA34" s="888"/>
      <c r="AB34" s="888"/>
      <c r="AC34" s="888"/>
      <c r="AD34" s="888"/>
      <c r="AE34" s="888"/>
      <c r="AF34" s="888"/>
      <c r="AG34" s="888"/>
      <c r="AH34" s="885"/>
      <c r="AK34" s="352"/>
      <c r="AL34" s="352"/>
      <c r="AM34" s="353"/>
      <c r="AN34" s="353"/>
      <c r="AO34" s="353"/>
      <c r="AP34" s="352"/>
      <c r="AQ34" s="353"/>
      <c r="AR34" s="353"/>
      <c r="AS34" s="353"/>
    </row>
    <row r="35" spans="1:92" ht="20.25" customHeight="1" x14ac:dyDescent="0.2">
      <c r="A35" s="857">
        <v>5</v>
      </c>
      <c r="B35" s="859" t="s">
        <v>321</v>
      </c>
      <c r="C35" s="886" t="s">
        <v>215</v>
      </c>
      <c r="D35" s="364" t="s">
        <v>34</v>
      </c>
      <c r="E35" s="351">
        <v>1</v>
      </c>
      <c r="F35" s="351">
        <v>1</v>
      </c>
      <c r="G35" s="351">
        <v>1</v>
      </c>
      <c r="H35" s="351">
        <v>1</v>
      </c>
      <c r="I35" s="351">
        <v>1</v>
      </c>
      <c r="J35" s="351">
        <v>1</v>
      </c>
      <c r="K35" s="351"/>
      <c r="L35" s="351"/>
      <c r="M35" s="351"/>
      <c r="N35" s="351"/>
      <c r="O35" s="351"/>
      <c r="P35" s="351"/>
      <c r="Q35" s="351"/>
      <c r="R35" s="351"/>
      <c r="S35" s="351"/>
      <c r="T35" s="351">
        <v>1</v>
      </c>
      <c r="U35" s="351"/>
      <c r="V35" s="351">
        <v>1</v>
      </c>
      <c r="W35" s="882" t="s">
        <v>219</v>
      </c>
      <c r="X35" s="881" t="s">
        <v>220</v>
      </c>
      <c r="Y35" s="881"/>
      <c r="Z35" s="881" t="s">
        <v>218</v>
      </c>
      <c r="AA35" s="881" t="s">
        <v>214</v>
      </c>
      <c r="AB35" s="881">
        <v>54330</v>
      </c>
      <c r="AC35" s="881">
        <v>59465</v>
      </c>
      <c r="AD35" s="881" t="s">
        <v>202</v>
      </c>
      <c r="AE35" s="881" t="s">
        <v>197</v>
      </c>
      <c r="AF35" s="881" t="s">
        <v>203</v>
      </c>
      <c r="AG35" s="881">
        <v>113795</v>
      </c>
      <c r="AH35" s="373"/>
      <c r="AK35" s="352">
        <v>12</v>
      </c>
      <c r="AL35" s="352" t="s">
        <v>35</v>
      </c>
      <c r="AM35" s="353"/>
      <c r="AN35" s="353"/>
      <c r="AO35" s="353"/>
      <c r="AP35" s="352" t="s">
        <v>555</v>
      </c>
      <c r="AQ35" s="353"/>
      <c r="AR35" s="353"/>
      <c r="AS35" s="353"/>
    </row>
    <row r="36" spans="1:92" ht="20.25" customHeight="1" x14ac:dyDescent="0.2">
      <c r="A36" s="783"/>
      <c r="B36" s="784"/>
      <c r="C36" s="797"/>
      <c r="D36" s="354" t="s">
        <v>36</v>
      </c>
      <c r="E36" s="355">
        <f>749999900</f>
        <v>749999900</v>
      </c>
      <c r="F36" s="355">
        <v>749999900</v>
      </c>
      <c r="G36" s="355">
        <v>749999900</v>
      </c>
      <c r="H36" s="355">
        <v>749999900</v>
      </c>
      <c r="I36" s="355">
        <v>749999900</v>
      </c>
      <c r="J36" s="355">
        <v>741749900</v>
      </c>
      <c r="K36" s="62"/>
      <c r="L36" s="62"/>
      <c r="M36" s="62"/>
      <c r="N36" s="62"/>
      <c r="O36" s="62"/>
      <c r="P36" s="62"/>
      <c r="Q36" s="62"/>
      <c r="R36" s="62"/>
      <c r="S36" s="62"/>
      <c r="T36" s="366">
        <f>143895390/8+45649881</f>
        <v>63636804.75</v>
      </c>
      <c r="U36" s="62"/>
      <c r="V36" s="366">
        <f>260933878/8+527902071</f>
        <v>560518805.75</v>
      </c>
      <c r="W36" s="882"/>
      <c r="X36" s="882"/>
      <c r="Y36" s="882"/>
      <c r="Z36" s="882"/>
      <c r="AA36" s="882"/>
      <c r="AB36" s="882"/>
      <c r="AC36" s="882"/>
      <c r="AD36" s="882"/>
      <c r="AE36" s="882"/>
      <c r="AF36" s="882"/>
      <c r="AG36" s="882"/>
      <c r="AH36" s="374"/>
      <c r="AK36" s="352">
        <v>13</v>
      </c>
      <c r="AL36" s="352" t="s">
        <v>556</v>
      </c>
      <c r="AM36" s="353"/>
      <c r="AN36" s="353"/>
      <c r="AO36" s="353"/>
      <c r="AP36" s="352" t="s">
        <v>557</v>
      </c>
      <c r="AQ36" s="353"/>
      <c r="AR36" s="353"/>
      <c r="AS36" s="353"/>
    </row>
    <row r="37" spans="1:92" ht="20.25" customHeight="1" x14ac:dyDescent="0.2">
      <c r="A37" s="783"/>
      <c r="B37" s="784"/>
      <c r="C37" s="797"/>
      <c r="D37" s="354" t="s">
        <v>37</v>
      </c>
      <c r="E37" s="63"/>
      <c r="F37" s="63"/>
      <c r="G37" s="63"/>
      <c r="H37" s="63"/>
      <c r="I37" s="63"/>
      <c r="J37" s="63"/>
      <c r="K37" s="63"/>
      <c r="L37" s="63"/>
      <c r="M37" s="63"/>
      <c r="N37" s="63"/>
      <c r="O37" s="63"/>
      <c r="P37" s="63"/>
      <c r="Q37" s="63"/>
      <c r="R37" s="63"/>
      <c r="S37" s="63"/>
      <c r="T37" s="367"/>
      <c r="U37" s="63"/>
      <c r="V37" s="63"/>
      <c r="W37" s="882"/>
      <c r="X37" s="882"/>
      <c r="Y37" s="882"/>
      <c r="Z37" s="882"/>
      <c r="AA37" s="882"/>
      <c r="AB37" s="882"/>
      <c r="AC37" s="882"/>
      <c r="AD37" s="882"/>
      <c r="AE37" s="882"/>
      <c r="AF37" s="882"/>
      <c r="AG37" s="882"/>
      <c r="AH37" s="374"/>
      <c r="AK37" s="352">
        <v>14</v>
      </c>
      <c r="AL37" s="352" t="s">
        <v>558</v>
      </c>
      <c r="AM37" s="353"/>
      <c r="AN37" s="353"/>
      <c r="AO37" s="353"/>
      <c r="AP37" s="352" t="s">
        <v>559</v>
      </c>
      <c r="AQ37" s="353"/>
      <c r="AR37" s="353"/>
      <c r="AS37" s="353"/>
    </row>
    <row r="38" spans="1:92" ht="20.25" customHeight="1" thickBot="1" x14ac:dyDescent="0.25">
      <c r="A38" s="783"/>
      <c r="B38" s="784"/>
      <c r="C38" s="797"/>
      <c r="D38" s="368" t="s">
        <v>38</v>
      </c>
      <c r="E38" s="359">
        <f t="shared" ref="E38:I38" si="12">218369514/8+22706043</f>
        <v>50002232.25</v>
      </c>
      <c r="F38" s="359">
        <f t="shared" si="12"/>
        <v>50002232.25</v>
      </c>
      <c r="G38" s="359">
        <f t="shared" si="12"/>
        <v>50002232.25</v>
      </c>
      <c r="H38" s="359">
        <f t="shared" si="12"/>
        <v>50002232.25</v>
      </c>
      <c r="I38" s="359">
        <f t="shared" si="12"/>
        <v>50002232.25</v>
      </c>
      <c r="J38" s="359">
        <v>50002232.25</v>
      </c>
      <c r="K38" s="63"/>
      <c r="L38" s="63"/>
      <c r="M38" s="63"/>
      <c r="N38" s="63"/>
      <c r="O38" s="63"/>
      <c r="P38" s="63"/>
      <c r="Q38" s="63"/>
      <c r="R38" s="63"/>
      <c r="S38" s="63"/>
      <c r="T38" s="375">
        <f>56249374/8+2760400</f>
        <v>9791571.75</v>
      </c>
      <c r="U38" s="63"/>
      <c r="V38" s="366">
        <f>34722674/8+19929162</f>
        <v>24269496.25</v>
      </c>
      <c r="W38" s="882"/>
      <c r="X38" s="882"/>
      <c r="Y38" s="882"/>
      <c r="Z38" s="882"/>
      <c r="AA38" s="882"/>
      <c r="AB38" s="882"/>
      <c r="AC38" s="882"/>
      <c r="AD38" s="882"/>
      <c r="AE38" s="882"/>
      <c r="AF38" s="882"/>
      <c r="AG38" s="882"/>
      <c r="AH38" s="376"/>
      <c r="AK38" s="352"/>
      <c r="AL38" s="352"/>
      <c r="AM38" s="353"/>
      <c r="AN38" s="353"/>
      <c r="AO38" s="353"/>
      <c r="AP38" s="352"/>
      <c r="AQ38" s="353"/>
      <c r="AR38" s="353"/>
      <c r="AS38" s="353"/>
    </row>
    <row r="39" spans="1:92" s="383" customFormat="1" ht="20.25" customHeight="1" x14ac:dyDescent="0.2">
      <c r="A39" s="783"/>
      <c r="B39" s="784"/>
      <c r="C39" s="797" t="s">
        <v>561</v>
      </c>
      <c r="D39" s="369" t="s">
        <v>34</v>
      </c>
      <c r="E39" s="351">
        <v>1</v>
      </c>
      <c r="F39" s="351">
        <v>1</v>
      </c>
      <c r="G39" s="351">
        <v>1</v>
      </c>
      <c r="H39" s="351">
        <v>1</v>
      </c>
      <c r="I39" s="351">
        <v>1</v>
      </c>
      <c r="J39" s="351">
        <v>1</v>
      </c>
      <c r="K39" s="351"/>
      <c r="L39" s="351"/>
      <c r="M39" s="351"/>
      <c r="N39" s="351"/>
      <c r="O39" s="351"/>
      <c r="P39" s="351"/>
      <c r="Q39" s="351"/>
      <c r="R39" s="351"/>
      <c r="S39" s="351"/>
      <c r="T39" s="351">
        <v>1</v>
      </c>
      <c r="U39" s="351"/>
      <c r="V39" s="351">
        <v>1</v>
      </c>
      <c r="W39" s="880" t="s">
        <v>223</v>
      </c>
      <c r="X39" s="880" t="s">
        <v>225</v>
      </c>
      <c r="Y39" s="880" t="s">
        <v>222</v>
      </c>
      <c r="Z39" s="880" t="s">
        <v>224</v>
      </c>
      <c r="AA39" s="880" t="s">
        <v>233</v>
      </c>
      <c r="AB39" s="880">
        <v>67597</v>
      </c>
      <c r="AC39" s="880">
        <v>73160</v>
      </c>
      <c r="AD39" s="880" t="s">
        <v>202</v>
      </c>
      <c r="AE39" s="880" t="s">
        <v>197</v>
      </c>
      <c r="AF39" s="880" t="s">
        <v>203</v>
      </c>
      <c r="AG39" s="880">
        <v>140757</v>
      </c>
      <c r="AH39" s="377"/>
      <c r="AI39" s="378"/>
      <c r="AJ39" s="379"/>
      <c r="AK39" s="380"/>
      <c r="AL39" s="380"/>
      <c r="AM39" s="380"/>
      <c r="AN39" s="380"/>
      <c r="AO39" s="380"/>
      <c r="AP39" s="380"/>
      <c r="AQ39" s="380"/>
      <c r="AR39" s="380"/>
      <c r="AS39" s="380"/>
      <c r="AT39" s="381"/>
      <c r="AU39" s="381"/>
      <c r="AV39" s="381"/>
      <c r="AW39" s="379"/>
      <c r="AX39" s="379"/>
      <c r="AY39" s="379"/>
      <c r="AZ39" s="379"/>
      <c r="BA39" s="379"/>
      <c r="BB39" s="379"/>
      <c r="BC39" s="379"/>
      <c r="BD39" s="379"/>
      <c r="BE39" s="379"/>
      <c r="BF39" s="379"/>
      <c r="BG39" s="379"/>
      <c r="BH39" s="379"/>
      <c r="BI39" s="379"/>
      <c r="BJ39" s="379"/>
      <c r="BK39" s="379"/>
      <c r="BL39" s="379"/>
      <c r="BM39" s="379"/>
      <c r="BN39" s="379"/>
      <c r="BO39" s="379"/>
      <c r="BP39" s="379"/>
      <c r="BQ39" s="379"/>
      <c r="BR39" s="379"/>
      <c r="BS39" s="379"/>
      <c r="BT39" s="379"/>
      <c r="BU39" s="379"/>
      <c r="BV39" s="379"/>
      <c r="BW39" s="379"/>
      <c r="BX39" s="379"/>
      <c r="BY39" s="379"/>
      <c r="BZ39" s="379"/>
      <c r="CA39" s="379"/>
      <c r="CB39" s="379"/>
      <c r="CC39" s="379"/>
      <c r="CD39" s="379"/>
      <c r="CE39" s="379"/>
      <c r="CF39" s="379"/>
      <c r="CG39" s="382"/>
      <c r="CH39" s="382"/>
      <c r="CI39" s="382"/>
      <c r="CJ39" s="382"/>
      <c r="CK39" s="382"/>
      <c r="CL39" s="382"/>
      <c r="CM39" s="382"/>
      <c r="CN39" s="382"/>
    </row>
    <row r="40" spans="1:92" s="383" customFormat="1" ht="20.25" customHeight="1" x14ac:dyDescent="0.2">
      <c r="A40" s="783"/>
      <c r="B40" s="784"/>
      <c r="C40" s="797"/>
      <c r="D40" s="354" t="s">
        <v>36</v>
      </c>
      <c r="E40" s="355">
        <f>60728800</f>
        <v>60728800</v>
      </c>
      <c r="F40" s="355">
        <v>60728800</v>
      </c>
      <c r="G40" s="355">
        <v>60728800</v>
      </c>
      <c r="H40" s="355">
        <v>60728800</v>
      </c>
      <c r="I40" s="355">
        <v>60728800</v>
      </c>
      <c r="J40" s="355">
        <v>52478800</v>
      </c>
      <c r="K40" s="384"/>
      <c r="L40" s="384"/>
      <c r="M40" s="384"/>
      <c r="N40" s="384"/>
      <c r="O40" s="384"/>
      <c r="P40" s="384"/>
      <c r="Q40" s="384"/>
      <c r="R40" s="384"/>
      <c r="S40" s="384"/>
      <c r="T40" s="366">
        <f>143895390/8</f>
        <v>17986923.75</v>
      </c>
      <c r="U40" s="385"/>
      <c r="V40" s="366">
        <f>32616734.75+5944576.33333333</f>
        <v>38561311.083333328</v>
      </c>
      <c r="W40" s="880"/>
      <c r="X40" s="880"/>
      <c r="Y40" s="880"/>
      <c r="Z40" s="880"/>
      <c r="AA40" s="880"/>
      <c r="AB40" s="880"/>
      <c r="AC40" s="880"/>
      <c r="AD40" s="880"/>
      <c r="AE40" s="880"/>
      <c r="AF40" s="880"/>
      <c r="AG40" s="880"/>
      <c r="AH40" s="377"/>
      <c r="AI40" s="378"/>
      <c r="AJ40" s="379"/>
      <c r="AK40" s="380"/>
      <c r="AL40" s="380"/>
      <c r="AM40" s="380"/>
      <c r="AN40" s="380"/>
      <c r="AO40" s="380"/>
      <c r="AP40" s="380"/>
      <c r="AQ40" s="380"/>
      <c r="AR40" s="380"/>
      <c r="AS40" s="380"/>
      <c r="AT40" s="381"/>
      <c r="AU40" s="381"/>
      <c r="AV40" s="381"/>
      <c r="AW40" s="379"/>
      <c r="AX40" s="379"/>
      <c r="AY40" s="379"/>
      <c r="AZ40" s="379"/>
      <c r="BA40" s="379"/>
      <c r="BB40" s="379"/>
      <c r="BC40" s="379"/>
      <c r="BD40" s="379"/>
      <c r="BE40" s="379"/>
      <c r="BF40" s="379"/>
      <c r="BG40" s="379"/>
      <c r="BH40" s="379"/>
      <c r="BI40" s="379"/>
      <c r="BJ40" s="379"/>
      <c r="BK40" s="379"/>
      <c r="BL40" s="379"/>
      <c r="BM40" s="379"/>
      <c r="BN40" s="379"/>
      <c r="BO40" s="379"/>
      <c r="BP40" s="379"/>
      <c r="BQ40" s="379"/>
      <c r="BR40" s="379"/>
      <c r="BS40" s="379"/>
      <c r="BT40" s="379"/>
      <c r="BU40" s="379"/>
      <c r="BV40" s="379"/>
      <c r="BW40" s="379"/>
      <c r="BX40" s="379"/>
      <c r="BY40" s="379"/>
      <c r="BZ40" s="379"/>
      <c r="CA40" s="379"/>
      <c r="CB40" s="379"/>
      <c r="CC40" s="379"/>
      <c r="CD40" s="379"/>
      <c r="CE40" s="379"/>
      <c r="CF40" s="379"/>
      <c r="CG40" s="382"/>
      <c r="CH40" s="382"/>
      <c r="CI40" s="382"/>
      <c r="CJ40" s="382"/>
      <c r="CK40" s="382"/>
      <c r="CL40" s="382"/>
      <c r="CM40" s="382"/>
      <c r="CN40" s="382"/>
    </row>
    <row r="41" spans="1:92" s="383" customFormat="1" ht="20.25" customHeight="1" x14ac:dyDescent="0.2">
      <c r="A41" s="783"/>
      <c r="B41" s="784"/>
      <c r="C41" s="797"/>
      <c r="D41" s="354" t="s">
        <v>37</v>
      </c>
      <c r="E41" s="385"/>
      <c r="F41" s="385"/>
      <c r="G41" s="385"/>
      <c r="H41" s="385"/>
      <c r="I41" s="385"/>
      <c r="J41" s="385"/>
      <c r="K41" s="384"/>
      <c r="L41" s="384"/>
      <c r="M41" s="384"/>
      <c r="N41" s="384"/>
      <c r="O41" s="384"/>
      <c r="P41" s="384"/>
      <c r="Q41" s="384"/>
      <c r="R41" s="384"/>
      <c r="S41" s="384"/>
      <c r="T41" s="386"/>
      <c r="U41" s="385"/>
      <c r="V41" s="385"/>
      <c r="W41" s="880"/>
      <c r="X41" s="880"/>
      <c r="Y41" s="880"/>
      <c r="Z41" s="880"/>
      <c r="AA41" s="880"/>
      <c r="AB41" s="880"/>
      <c r="AC41" s="880"/>
      <c r="AD41" s="880"/>
      <c r="AE41" s="880"/>
      <c r="AF41" s="880"/>
      <c r="AG41" s="880"/>
      <c r="AH41" s="377"/>
      <c r="AI41" s="378"/>
      <c r="AJ41" s="379"/>
      <c r="AK41" s="380"/>
      <c r="AL41" s="380"/>
      <c r="AM41" s="380"/>
      <c r="AN41" s="380"/>
      <c r="AO41" s="380"/>
      <c r="AP41" s="380"/>
      <c r="AQ41" s="380"/>
      <c r="AR41" s="380"/>
      <c r="AS41" s="380"/>
      <c r="AT41" s="381"/>
      <c r="AU41" s="381"/>
      <c r="AV41" s="381"/>
      <c r="AW41" s="379"/>
      <c r="AX41" s="379"/>
      <c r="AY41" s="379"/>
      <c r="AZ41" s="379"/>
      <c r="BA41" s="379"/>
      <c r="BB41" s="379"/>
      <c r="BC41" s="379"/>
      <c r="BD41" s="379"/>
      <c r="BE41" s="379"/>
      <c r="BF41" s="379"/>
      <c r="BG41" s="379"/>
      <c r="BH41" s="379"/>
      <c r="BI41" s="379"/>
      <c r="BJ41" s="379"/>
      <c r="BK41" s="379"/>
      <c r="BL41" s="379"/>
      <c r="BM41" s="379"/>
      <c r="BN41" s="379"/>
      <c r="BO41" s="379"/>
      <c r="BP41" s="379"/>
      <c r="BQ41" s="379"/>
      <c r="BR41" s="379"/>
      <c r="BS41" s="379"/>
      <c r="BT41" s="379"/>
      <c r="BU41" s="379"/>
      <c r="BV41" s="379"/>
      <c r="BW41" s="379"/>
      <c r="BX41" s="379"/>
      <c r="BY41" s="379"/>
      <c r="BZ41" s="379"/>
      <c r="CA41" s="379"/>
      <c r="CB41" s="379"/>
      <c r="CC41" s="379"/>
      <c r="CD41" s="379"/>
      <c r="CE41" s="379"/>
      <c r="CF41" s="379"/>
      <c r="CG41" s="382"/>
      <c r="CH41" s="382"/>
      <c r="CI41" s="382"/>
      <c r="CJ41" s="382"/>
      <c r="CK41" s="382"/>
      <c r="CL41" s="382"/>
      <c r="CM41" s="382"/>
      <c r="CN41" s="382"/>
    </row>
    <row r="42" spans="1:92" ht="20.25" customHeight="1" thickBot="1" x14ac:dyDescent="0.25">
      <c r="A42" s="783"/>
      <c r="B42" s="784"/>
      <c r="C42" s="797"/>
      <c r="D42" s="368" t="s">
        <v>38</v>
      </c>
      <c r="E42" s="359">
        <f t="shared" ref="E42:I42" si="13">218369514/8+8649253</f>
        <v>35945442.25</v>
      </c>
      <c r="F42" s="359">
        <f t="shared" si="13"/>
        <v>35945442.25</v>
      </c>
      <c r="G42" s="359">
        <f t="shared" si="13"/>
        <v>35945442.25</v>
      </c>
      <c r="H42" s="359">
        <f t="shared" si="13"/>
        <v>35945442.25</v>
      </c>
      <c r="I42" s="359">
        <f t="shared" si="13"/>
        <v>35945442.25</v>
      </c>
      <c r="J42" s="359">
        <v>35945442.25</v>
      </c>
      <c r="K42" s="384"/>
      <c r="L42" s="384"/>
      <c r="M42" s="384"/>
      <c r="N42" s="384"/>
      <c r="O42" s="384"/>
      <c r="P42" s="384"/>
      <c r="Q42" s="384"/>
      <c r="R42" s="384"/>
      <c r="S42" s="384"/>
      <c r="T42" s="375">
        <f>56249374/8+5520800</f>
        <v>12551971.75</v>
      </c>
      <c r="U42" s="385"/>
      <c r="V42" s="366">
        <f>4340334.25+8649253</f>
        <v>12989587.25</v>
      </c>
      <c r="W42" s="880"/>
      <c r="X42" s="880"/>
      <c r="Y42" s="880"/>
      <c r="Z42" s="880"/>
      <c r="AA42" s="880"/>
      <c r="AB42" s="880"/>
      <c r="AC42" s="880"/>
      <c r="AD42" s="880"/>
      <c r="AE42" s="880"/>
      <c r="AF42" s="880"/>
      <c r="AG42" s="880"/>
      <c r="AH42" s="387"/>
      <c r="AI42" s="388"/>
    </row>
    <row r="43" spans="1:92" ht="20.25" customHeight="1" x14ac:dyDescent="0.2">
      <c r="A43" s="783"/>
      <c r="B43" s="784"/>
      <c r="C43" s="797" t="s">
        <v>216</v>
      </c>
      <c r="D43" s="369" t="s">
        <v>34</v>
      </c>
      <c r="E43" s="351">
        <v>1</v>
      </c>
      <c r="F43" s="351">
        <v>1</v>
      </c>
      <c r="G43" s="351">
        <v>1</v>
      </c>
      <c r="H43" s="351">
        <v>1</v>
      </c>
      <c r="I43" s="351">
        <v>1</v>
      </c>
      <c r="J43" s="351">
        <v>1</v>
      </c>
      <c r="K43" s="389"/>
      <c r="L43" s="389"/>
      <c r="M43" s="389"/>
      <c r="N43" s="389"/>
      <c r="O43" s="389"/>
      <c r="P43" s="389"/>
      <c r="Q43" s="389"/>
      <c r="R43" s="389"/>
      <c r="S43" s="389"/>
      <c r="T43" s="351">
        <v>1</v>
      </c>
      <c r="U43" s="351"/>
      <c r="V43" s="351">
        <v>1</v>
      </c>
      <c r="W43" s="880" t="s">
        <v>226</v>
      </c>
      <c r="X43" s="880" t="s">
        <v>227</v>
      </c>
      <c r="Y43" s="880" t="s">
        <v>228</v>
      </c>
      <c r="Z43" s="880" t="s">
        <v>231</v>
      </c>
      <c r="AA43" s="880" t="s">
        <v>233</v>
      </c>
      <c r="AB43" s="880">
        <v>16624</v>
      </c>
      <c r="AC43" s="880">
        <v>17767</v>
      </c>
      <c r="AD43" s="880" t="s">
        <v>202</v>
      </c>
      <c r="AE43" s="880" t="s">
        <v>197</v>
      </c>
      <c r="AF43" s="880" t="s">
        <v>203</v>
      </c>
      <c r="AG43" s="880">
        <v>34391</v>
      </c>
      <c r="AH43" s="387"/>
      <c r="AI43" s="390"/>
    </row>
    <row r="44" spans="1:92" ht="20.25" customHeight="1" x14ac:dyDescent="0.2">
      <c r="A44" s="783"/>
      <c r="B44" s="784"/>
      <c r="C44" s="797"/>
      <c r="D44" s="354" t="s">
        <v>36</v>
      </c>
      <c r="E44" s="355">
        <f>98910900</f>
        <v>98910900</v>
      </c>
      <c r="F44" s="355">
        <v>98910900</v>
      </c>
      <c r="G44" s="355">
        <v>98910900</v>
      </c>
      <c r="H44" s="355">
        <v>98910900</v>
      </c>
      <c r="I44" s="355">
        <v>98910900</v>
      </c>
      <c r="J44" s="355">
        <v>90660900</v>
      </c>
      <c r="K44" s="391"/>
      <c r="L44" s="391"/>
      <c r="M44" s="391"/>
      <c r="N44" s="391"/>
      <c r="O44" s="391"/>
      <c r="P44" s="391"/>
      <c r="Q44" s="391"/>
      <c r="R44" s="391"/>
      <c r="S44" s="391"/>
      <c r="T44" s="366">
        <f>143895390/8</f>
        <v>17986923.75</v>
      </c>
      <c r="U44" s="392"/>
      <c r="V44" s="366">
        <f>32616734.75+5944576.33333333</f>
        <v>38561311.083333328</v>
      </c>
      <c r="W44" s="880"/>
      <c r="X44" s="880"/>
      <c r="Y44" s="880"/>
      <c r="Z44" s="880"/>
      <c r="AA44" s="880"/>
      <c r="AB44" s="880"/>
      <c r="AC44" s="880"/>
      <c r="AD44" s="880"/>
      <c r="AE44" s="880"/>
      <c r="AF44" s="880"/>
      <c r="AG44" s="880"/>
      <c r="AH44" s="393"/>
    </row>
    <row r="45" spans="1:92" ht="20.25" customHeight="1" x14ac:dyDescent="0.2">
      <c r="A45" s="783"/>
      <c r="B45" s="784"/>
      <c r="C45" s="797"/>
      <c r="D45" s="354" t="s">
        <v>37</v>
      </c>
      <c r="E45" s="392"/>
      <c r="F45" s="392"/>
      <c r="G45" s="392"/>
      <c r="H45" s="392"/>
      <c r="I45" s="392"/>
      <c r="J45" s="392"/>
      <c r="K45" s="391"/>
      <c r="L45" s="391"/>
      <c r="M45" s="391"/>
      <c r="N45" s="391"/>
      <c r="O45" s="391"/>
      <c r="P45" s="391"/>
      <c r="Q45" s="391"/>
      <c r="R45" s="391"/>
      <c r="S45" s="391"/>
      <c r="T45" s="394"/>
      <c r="U45" s="392"/>
      <c r="V45" s="392"/>
      <c r="W45" s="880"/>
      <c r="X45" s="880"/>
      <c r="Y45" s="880"/>
      <c r="Z45" s="880"/>
      <c r="AA45" s="880"/>
      <c r="AB45" s="880"/>
      <c r="AC45" s="880"/>
      <c r="AD45" s="880"/>
      <c r="AE45" s="880"/>
      <c r="AF45" s="880"/>
      <c r="AG45" s="880"/>
      <c r="AH45" s="393"/>
    </row>
    <row r="46" spans="1:92" ht="20.25" customHeight="1" thickBot="1" x14ac:dyDescent="0.25">
      <c r="A46" s="783"/>
      <c r="B46" s="784"/>
      <c r="C46" s="797"/>
      <c r="D46" s="368" t="s">
        <v>38</v>
      </c>
      <c r="E46" s="359">
        <f t="shared" ref="E46:I46" si="14">218369514/8+27945960</f>
        <v>55242149.25</v>
      </c>
      <c r="F46" s="359">
        <f t="shared" si="14"/>
        <v>55242149.25</v>
      </c>
      <c r="G46" s="359">
        <f t="shared" si="14"/>
        <v>55242149.25</v>
      </c>
      <c r="H46" s="359">
        <f t="shared" si="14"/>
        <v>55242149.25</v>
      </c>
      <c r="I46" s="359">
        <f t="shared" si="14"/>
        <v>55242149.25</v>
      </c>
      <c r="J46" s="359">
        <v>55242149.25</v>
      </c>
      <c r="K46" s="391"/>
      <c r="L46" s="391"/>
      <c r="M46" s="391"/>
      <c r="N46" s="391"/>
      <c r="O46" s="391"/>
      <c r="P46" s="391"/>
      <c r="Q46" s="391"/>
      <c r="R46" s="391"/>
      <c r="S46" s="391"/>
      <c r="T46" s="375">
        <f>56249374/8+9702600</f>
        <v>16733771.75</v>
      </c>
      <c r="U46" s="392"/>
      <c r="V46" s="366">
        <f>4340334.25+20768920</f>
        <v>25109254.25</v>
      </c>
      <c r="W46" s="880"/>
      <c r="X46" s="880"/>
      <c r="Y46" s="880"/>
      <c r="Z46" s="880"/>
      <c r="AA46" s="880"/>
      <c r="AB46" s="880"/>
      <c r="AC46" s="880"/>
      <c r="AD46" s="880"/>
      <c r="AE46" s="880"/>
      <c r="AF46" s="880"/>
      <c r="AG46" s="880"/>
      <c r="AH46" s="393"/>
    </row>
    <row r="47" spans="1:92" ht="20.25" customHeight="1" x14ac:dyDescent="0.2">
      <c r="A47" s="783"/>
      <c r="B47" s="784"/>
      <c r="C47" s="797" t="s">
        <v>217</v>
      </c>
      <c r="D47" s="369" t="s">
        <v>34</v>
      </c>
      <c r="E47" s="351">
        <v>1</v>
      </c>
      <c r="F47" s="351">
        <v>1</v>
      </c>
      <c r="G47" s="351">
        <v>1</v>
      </c>
      <c r="H47" s="351">
        <v>1</v>
      </c>
      <c r="I47" s="351">
        <v>1</v>
      </c>
      <c r="J47" s="351">
        <v>1</v>
      </c>
      <c r="K47" s="389"/>
      <c r="L47" s="389"/>
      <c r="M47" s="389"/>
      <c r="N47" s="389"/>
      <c r="O47" s="389"/>
      <c r="P47" s="389"/>
      <c r="Q47" s="389"/>
      <c r="R47" s="389"/>
      <c r="S47" s="389"/>
      <c r="T47" s="351">
        <v>1</v>
      </c>
      <c r="U47" s="351"/>
      <c r="V47" s="351">
        <v>1</v>
      </c>
      <c r="W47" s="880" t="s">
        <v>35</v>
      </c>
      <c r="X47" s="880" t="s">
        <v>229</v>
      </c>
      <c r="Y47" s="880" t="s">
        <v>230</v>
      </c>
      <c r="Z47" s="880" t="s">
        <v>562</v>
      </c>
      <c r="AA47" s="880" t="s">
        <v>233</v>
      </c>
      <c r="AB47" s="880">
        <v>48841</v>
      </c>
      <c r="AC47" s="880">
        <v>54170</v>
      </c>
      <c r="AD47" s="880" t="s">
        <v>202</v>
      </c>
      <c r="AE47" s="880" t="s">
        <v>197</v>
      </c>
      <c r="AF47" s="880" t="s">
        <v>203</v>
      </c>
      <c r="AG47" s="880">
        <v>103011</v>
      </c>
      <c r="AH47" s="393"/>
    </row>
    <row r="48" spans="1:92" ht="20.25" customHeight="1" x14ac:dyDescent="0.2">
      <c r="A48" s="783"/>
      <c r="B48" s="784"/>
      <c r="C48" s="797"/>
      <c r="D48" s="354" t="s">
        <v>36</v>
      </c>
      <c r="E48" s="355">
        <f>137093000</f>
        <v>137093000</v>
      </c>
      <c r="F48" s="355">
        <v>137093000</v>
      </c>
      <c r="G48" s="355">
        <v>137093000</v>
      </c>
      <c r="H48" s="355">
        <v>137093000</v>
      </c>
      <c r="I48" s="355">
        <v>137093000</v>
      </c>
      <c r="J48" s="355">
        <v>128843000</v>
      </c>
      <c r="K48" s="384"/>
      <c r="L48" s="384"/>
      <c r="M48" s="384"/>
      <c r="N48" s="384"/>
      <c r="O48" s="384"/>
      <c r="P48" s="384"/>
      <c r="Q48" s="384"/>
      <c r="R48" s="384"/>
      <c r="S48" s="384"/>
      <c r="T48" s="366">
        <f>143895390/8</f>
        <v>17986923.75</v>
      </c>
      <c r="U48" s="385"/>
      <c r="V48" s="366">
        <f>32616734.75+5944576.33333333</f>
        <v>38561311.083333328</v>
      </c>
      <c r="W48" s="880"/>
      <c r="X48" s="880"/>
      <c r="Y48" s="880"/>
      <c r="Z48" s="880"/>
      <c r="AA48" s="880"/>
      <c r="AB48" s="880"/>
      <c r="AC48" s="880"/>
      <c r="AD48" s="880"/>
      <c r="AE48" s="880"/>
      <c r="AF48" s="880"/>
      <c r="AG48" s="880"/>
      <c r="AH48" s="387"/>
    </row>
    <row r="49" spans="1:34" ht="20.25" customHeight="1" x14ac:dyDescent="0.2">
      <c r="A49" s="783"/>
      <c r="B49" s="784"/>
      <c r="C49" s="797"/>
      <c r="D49" s="354" t="s">
        <v>37</v>
      </c>
      <c r="E49" s="385"/>
      <c r="F49" s="385"/>
      <c r="G49" s="385"/>
      <c r="H49" s="385"/>
      <c r="I49" s="385"/>
      <c r="J49" s="385"/>
      <c r="K49" s="384"/>
      <c r="L49" s="384"/>
      <c r="M49" s="384"/>
      <c r="N49" s="384"/>
      <c r="O49" s="384"/>
      <c r="P49" s="384"/>
      <c r="Q49" s="384"/>
      <c r="R49" s="384"/>
      <c r="S49" s="384"/>
      <c r="T49" s="386"/>
      <c r="U49" s="385"/>
      <c r="V49" s="385"/>
      <c r="W49" s="880"/>
      <c r="X49" s="880"/>
      <c r="Y49" s="880"/>
      <c r="Z49" s="880"/>
      <c r="AA49" s="880"/>
      <c r="AB49" s="880"/>
      <c r="AC49" s="880"/>
      <c r="AD49" s="880"/>
      <c r="AE49" s="880"/>
      <c r="AF49" s="880"/>
      <c r="AG49" s="880"/>
      <c r="AH49" s="387"/>
    </row>
    <row r="50" spans="1:34" ht="20.25" customHeight="1" thickBot="1" x14ac:dyDescent="0.25">
      <c r="A50" s="783"/>
      <c r="B50" s="784"/>
      <c r="C50" s="797"/>
      <c r="D50" s="368" t="s">
        <v>38</v>
      </c>
      <c r="E50" s="359">
        <f t="shared" ref="E50:I50" si="15">218369514/8+13487850</f>
        <v>40784039.25</v>
      </c>
      <c r="F50" s="359">
        <f t="shared" si="15"/>
        <v>40784039.25</v>
      </c>
      <c r="G50" s="359">
        <f t="shared" si="15"/>
        <v>40784039.25</v>
      </c>
      <c r="H50" s="359">
        <f t="shared" si="15"/>
        <v>40784039.25</v>
      </c>
      <c r="I50" s="359">
        <f t="shared" si="15"/>
        <v>40784039.25</v>
      </c>
      <c r="J50" s="359">
        <v>40784039.25</v>
      </c>
      <c r="K50" s="384"/>
      <c r="L50" s="384"/>
      <c r="M50" s="384"/>
      <c r="N50" s="384"/>
      <c r="O50" s="384"/>
      <c r="P50" s="384"/>
      <c r="Q50" s="384"/>
      <c r="R50" s="384"/>
      <c r="S50" s="384"/>
      <c r="T50" s="375">
        <f>56249374/8+10727450</f>
        <v>17758621.75</v>
      </c>
      <c r="U50" s="385"/>
      <c r="V50" s="366">
        <f>4340334.25+11647583</f>
        <v>15987917.25</v>
      </c>
      <c r="W50" s="880"/>
      <c r="X50" s="880"/>
      <c r="Y50" s="880"/>
      <c r="Z50" s="880"/>
      <c r="AA50" s="880"/>
      <c r="AB50" s="880"/>
      <c r="AC50" s="880"/>
      <c r="AD50" s="880"/>
      <c r="AE50" s="880"/>
      <c r="AF50" s="880"/>
      <c r="AG50" s="880"/>
      <c r="AH50" s="387"/>
    </row>
    <row r="51" spans="1:34" ht="20.25" customHeight="1" x14ac:dyDescent="0.2">
      <c r="A51" s="783"/>
      <c r="B51" s="784"/>
      <c r="C51" s="781" t="s">
        <v>563</v>
      </c>
      <c r="D51" s="369" t="s">
        <v>34</v>
      </c>
      <c r="E51" s="351">
        <v>0.5</v>
      </c>
      <c r="F51" s="351">
        <v>0.5</v>
      </c>
      <c r="G51" s="351">
        <v>0.5</v>
      </c>
      <c r="H51" s="351">
        <v>0.5</v>
      </c>
      <c r="I51" s="351">
        <v>0.5</v>
      </c>
      <c r="J51" s="351">
        <v>0.5</v>
      </c>
      <c r="K51" s="389"/>
      <c r="L51" s="389"/>
      <c r="M51" s="389"/>
      <c r="N51" s="389"/>
      <c r="O51" s="389"/>
      <c r="P51" s="389"/>
      <c r="Q51" s="389"/>
      <c r="R51" s="389"/>
      <c r="S51" s="389"/>
      <c r="T51" s="351">
        <v>0.25</v>
      </c>
      <c r="U51" s="351"/>
      <c r="V51" s="351">
        <v>0.5</v>
      </c>
      <c r="W51" s="880" t="s">
        <v>564</v>
      </c>
      <c r="X51" s="880"/>
      <c r="Y51" s="880" t="s">
        <v>232</v>
      </c>
      <c r="Z51" s="880" t="s">
        <v>565</v>
      </c>
      <c r="AA51" s="880" t="s">
        <v>234</v>
      </c>
      <c r="AB51" s="880">
        <v>48841</v>
      </c>
      <c r="AC51" s="880">
        <v>54170</v>
      </c>
      <c r="AD51" s="880" t="s">
        <v>202</v>
      </c>
      <c r="AE51" s="880" t="s">
        <v>197</v>
      </c>
      <c r="AF51" s="880" t="s">
        <v>203</v>
      </c>
      <c r="AG51" s="880">
        <v>103011</v>
      </c>
      <c r="AH51" s="387"/>
    </row>
    <row r="52" spans="1:34" ht="20.25" customHeight="1" x14ac:dyDescent="0.2">
      <c r="A52" s="783"/>
      <c r="B52" s="784"/>
      <c r="C52" s="781"/>
      <c r="D52" s="354" t="s">
        <v>36</v>
      </c>
      <c r="E52" s="355">
        <f>1163153750/4+159639700</f>
        <v>450428137.5</v>
      </c>
      <c r="F52" s="355">
        <f t="shared" ref="F52:I52" si="16">1163153750/4+159639700</f>
        <v>450428137.5</v>
      </c>
      <c r="G52" s="355">
        <f t="shared" si="16"/>
        <v>450428137.5</v>
      </c>
      <c r="H52" s="355">
        <f t="shared" si="16"/>
        <v>450428137.5</v>
      </c>
      <c r="I52" s="355">
        <f t="shared" si="16"/>
        <v>450428137.5</v>
      </c>
      <c r="J52" s="355">
        <v>442178137.5</v>
      </c>
      <c r="K52" s="384"/>
      <c r="L52" s="384"/>
      <c r="M52" s="384"/>
      <c r="N52" s="384"/>
      <c r="O52" s="384"/>
      <c r="P52" s="384"/>
      <c r="Q52" s="384"/>
      <c r="R52" s="384"/>
      <c r="S52" s="384"/>
      <c r="T52" s="366">
        <f>143895390/8</f>
        <v>17986923.75</v>
      </c>
      <c r="U52" s="385"/>
      <c r="V52" s="366">
        <f>32616734.75+17833729</f>
        <v>50450463.75</v>
      </c>
      <c r="W52" s="880"/>
      <c r="X52" s="880"/>
      <c r="Y52" s="880"/>
      <c r="Z52" s="880"/>
      <c r="AA52" s="880"/>
      <c r="AB52" s="880"/>
      <c r="AC52" s="880"/>
      <c r="AD52" s="880"/>
      <c r="AE52" s="880"/>
      <c r="AF52" s="880"/>
      <c r="AG52" s="880"/>
      <c r="AH52" s="387"/>
    </row>
    <row r="53" spans="1:34" ht="20.25" customHeight="1" x14ac:dyDescent="0.2">
      <c r="A53" s="783"/>
      <c r="B53" s="784"/>
      <c r="C53" s="781"/>
      <c r="D53" s="354" t="s">
        <v>37</v>
      </c>
      <c r="E53" s="385"/>
      <c r="F53" s="385"/>
      <c r="G53" s="385"/>
      <c r="H53" s="385"/>
      <c r="I53" s="385"/>
      <c r="J53" s="385"/>
      <c r="K53" s="384"/>
      <c r="L53" s="384"/>
      <c r="M53" s="384"/>
      <c r="N53" s="384"/>
      <c r="O53" s="384"/>
      <c r="P53" s="384"/>
      <c r="Q53" s="384"/>
      <c r="R53" s="384"/>
      <c r="S53" s="384"/>
      <c r="T53" s="395"/>
      <c r="U53" s="385"/>
      <c r="V53" s="385"/>
      <c r="W53" s="880"/>
      <c r="X53" s="880"/>
      <c r="Y53" s="880"/>
      <c r="Z53" s="880"/>
      <c r="AA53" s="880"/>
      <c r="AB53" s="880"/>
      <c r="AC53" s="880"/>
      <c r="AD53" s="880"/>
      <c r="AE53" s="880"/>
      <c r="AF53" s="880"/>
      <c r="AG53" s="880"/>
      <c r="AH53" s="387"/>
    </row>
    <row r="54" spans="1:34" ht="20.25" customHeight="1" thickBot="1" x14ac:dyDescent="0.25">
      <c r="A54" s="783"/>
      <c r="B54" s="784"/>
      <c r="C54" s="781"/>
      <c r="D54" s="368" t="s">
        <v>38</v>
      </c>
      <c r="E54" s="359">
        <f t="shared" ref="E54:I54" si="17">218369514/8+46919935</f>
        <v>74216124.25</v>
      </c>
      <c r="F54" s="359">
        <f t="shared" si="17"/>
        <v>74216124.25</v>
      </c>
      <c r="G54" s="359">
        <f t="shared" si="17"/>
        <v>74216124.25</v>
      </c>
      <c r="H54" s="359">
        <f t="shared" si="17"/>
        <v>74216124.25</v>
      </c>
      <c r="I54" s="359">
        <f t="shared" si="17"/>
        <v>74216124.25</v>
      </c>
      <c r="J54" s="359">
        <v>74216124.25</v>
      </c>
      <c r="K54" s="384"/>
      <c r="L54" s="384"/>
      <c r="M54" s="384"/>
      <c r="N54" s="384"/>
      <c r="O54" s="384"/>
      <c r="P54" s="384"/>
      <c r="Q54" s="384"/>
      <c r="R54" s="384"/>
      <c r="S54" s="384"/>
      <c r="T54" s="375">
        <f>56249374/8+19157313</f>
        <v>26188484.75</v>
      </c>
      <c r="U54" s="385"/>
      <c r="V54" s="366">
        <f>4340334.25+6774750+27137068</f>
        <v>38252152.25</v>
      </c>
      <c r="W54" s="880"/>
      <c r="X54" s="880"/>
      <c r="Y54" s="880"/>
      <c r="Z54" s="880"/>
      <c r="AA54" s="880"/>
      <c r="AB54" s="880"/>
      <c r="AC54" s="880"/>
      <c r="AD54" s="880"/>
      <c r="AE54" s="880"/>
      <c r="AF54" s="880"/>
      <c r="AG54" s="880"/>
      <c r="AH54" s="387"/>
    </row>
    <row r="55" spans="1:34" ht="20.25" customHeight="1" x14ac:dyDescent="0.2">
      <c r="A55" s="783"/>
      <c r="B55" s="784"/>
      <c r="C55" s="781" t="s">
        <v>566</v>
      </c>
      <c r="D55" s="369" t="s">
        <v>34</v>
      </c>
      <c r="E55" s="351">
        <v>0.5</v>
      </c>
      <c r="F55" s="351">
        <v>0.5</v>
      </c>
      <c r="G55" s="351">
        <v>0.5</v>
      </c>
      <c r="H55" s="351">
        <v>0.5</v>
      </c>
      <c r="I55" s="351">
        <v>0.5</v>
      </c>
      <c r="J55" s="351">
        <v>0.5</v>
      </c>
      <c r="K55" s="389"/>
      <c r="L55" s="389"/>
      <c r="M55" s="389"/>
      <c r="N55" s="389"/>
      <c r="O55" s="389"/>
      <c r="P55" s="389"/>
      <c r="Q55" s="389"/>
      <c r="R55" s="389"/>
      <c r="S55" s="389"/>
      <c r="T55" s="351">
        <v>0.25</v>
      </c>
      <c r="U55" s="351"/>
      <c r="V55" s="351">
        <v>0.5</v>
      </c>
      <c r="W55" s="880" t="s">
        <v>226</v>
      </c>
      <c r="X55" s="880" t="s">
        <v>239</v>
      </c>
      <c r="Y55" s="880" t="s">
        <v>238</v>
      </c>
      <c r="Z55" s="880" t="s">
        <v>237</v>
      </c>
      <c r="AA55" s="880" t="s">
        <v>234</v>
      </c>
      <c r="AB55" s="880">
        <v>114440</v>
      </c>
      <c r="AC55" s="880">
        <v>120036</v>
      </c>
      <c r="AD55" s="880" t="s">
        <v>202</v>
      </c>
      <c r="AE55" s="880" t="s">
        <v>197</v>
      </c>
      <c r="AF55" s="880" t="s">
        <v>203</v>
      </c>
      <c r="AG55" s="880">
        <v>234476</v>
      </c>
      <c r="AH55" s="387"/>
    </row>
    <row r="56" spans="1:34" ht="20.25" customHeight="1" x14ac:dyDescent="0.2">
      <c r="A56" s="783"/>
      <c r="B56" s="784"/>
      <c r="C56" s="781"/>
      <c r="D56" s="354" t="s">
        <v>36</v>
      </c>
      <c r="E56" s="355">
        <f>1163153750/4+68546500</f>
        <v>359334937.5</v>
      </c>
      <c r="F56" s="355">
        <f t="shared" ref="F56:I56" si="18">1163153750/4+68546500</f>
        <v>359334937.5</v>
      </c>
      <c r="G56" s="355">
        <f t="shared" si="18"/>
        <v>359334937.5</v>
      </c>
      <c r="H56" s="355">
        <f t="shared" si="18"/>
        <v>359334937.5</v>
      </c>
      <c r="I56" s="355">
        <f t="shared" si="18"/>
        <v>359334937.5</v>
      </c>
      <c r="J56" s="355">
        <v>351084937.5</v>
      </c>
      <c r="K56" s="384"/>
      <c r="L56" s="384"/>
      <c r="M56" s="384"/>
      <c r="N56" s="384"/>
      <c r="O56" s="384"/>
      <c r="P56" s="384"/>
      <c r="Q56" s="384"/>
      <c r="R56" s="384"/>
      <c r="S56" s="384"/>
      <c r="T56" s="366">
        <f>143895390/8</f>
        <v>17986923.75</v>
      </c>
      <c r="U56" s="385"/>
      <c r="V56" s="366">
        <f>32616734.75+10725699</f>
        <v>43342433.75</v>
      </c>
      <c r="W56" s="880"/>
      <c r="X56" s="880"/>
      <c r="Y56" s="880"/>
      <c r="Z56" s="880"/>
      <c r="AA56" s="880"/>
      <c r="AB56" s="880"/>
      <c r="AC56" s="880"/>
      <c r="AD56" s="880"/>
      <c r="AE56" s="880"/>
      <c r="AF56" s="880"/>
      <c r="AG56" s="880"/>
      <c r="AH56" s="387"/>
    </row>
    <row r="57" spans="1:34" ht="20.25" customHeight="1" x14ac:dyDescent="0.2">
      <c r="A57" s="783"/>
      <c r="B57" s="784"/>
      <c r="C57" s="781"/>
      <c r="D57" s="354" t="s">
        <v>37</v>
      </c>
      <c r="E57" s="385"/>
      <c r="F57" s="385"/>
      <c r="G57" s="385"/>
      <c r="H57" s="385"/>
      <c r="I57" s="385"/>
      <c r="J57" s="385"/>
      <c r="K57" s="384"/>
      <c r="L57" s="384"/>
      <c r="M57" s="384"/>
      <c r="N57" s="384"/>
      <c r="O57" s="384"/>
      <c r="P57" s="384"/>
      <c r="Q57" s="384"/>
      <c r="R57" s="384"/>
      <c r="S57" s="384"/>
      <c r="T57" s="395"/>
      <c r="U57" s="385"/>
      <c r="V57" s="385"/>
      <c r="W57" s="880"/>
      <c r="X57" s="880"/>
      <c r="Y57" s="880"/>
      <c r="Z57" s="880"/>
      <c r="AA57" s="880"/>
      <c r="AB57" s="880"/>
      <c r="AC57" s="880"/>
      <c r="AD57" s="880"/>
      <c r="AE57" s="880"/>
      <c r="AF57" s="880"/>
      <c r="AG57" s="880"/>
      <c r="AH57" s="387"/>
    </row>
    <row r="58" spans="1:34" ht="20.25" customHeight="1" thickBot="1" x14ac:dyDescent="0.25">
      <c r="A58" s="783"/>
      <c r="B58" s="784"/>
      <c r="C58" s="781"/>
      <c r="D58" s="368" t="s">
        <v>38</v>
      </c>
      <c r="E58" s="359">
        <f t="shared" ref="E58:I58" si="19">218369514/8+25600797</f>
        <v>52896986.25</v>
      </c>
      <c r="F58" s="359">
        <f t="shared" si="19"/>
        <v>52896986.25</v>
      </c>
      <c r="G58" s="359">
        <f t="shared" si="19"/>
        <v>52896986.25</v>
      </c>
      <c r="H58" s="359">
        <f t="shared" si="19"/>
        <v>52896986.25</v>
      </c>
      <c r="I58" s="359">
        <f t="shared" si="19"/>
        <v>52896986.25</v>
      </c>
      <c r="J58" s="359">
        <v>52896986.25</v>
      </c>
      <c r="K58" s="384"/>
      <c r="L58" s="384"/>
      <c r="M58" s="384"/>
      <c r="N58" s="384"/>
      <c r="O58" s="384"/>
      <c r="P58" s="384"/>
      <c r="Q58" s="384"/>
      <c r="R58" s="384"/>
      <c r="S58" s="384"/>
      <c r="T58" s="375">
        <f>56249374/8+16603601</f>
        <v>23634772.75</v>
      </c>
      <c r="U58" s="385"/>
      <c r="V58" s="366">
        <f>4340334.25+6774750+7843107</f>
        <v>18958191.25</v>
      </c>
      <c r="W58" s="880"/>
      <c r="X58" s="880"/>
      <c r="Y58" s="880"/>
      <c r="Z58" s="880"/>
      <c r="AA58" s="880"/>
      <c r="AB58" s="880"/>
      <c r="AC58" s="880"/>
      <c r="AD58" s="880"/>
      <c r="AE58" s="880"/>
      <c r="AF58" s="880"/>
      <c r="AG58" s="880"/>
      <c r="AH58" s="387"/>
    </row>
    <row r="59" spans="1:34" ht="20.25" customHeight="1" x14ac:dyDescent="0.2">
      <c r="A59" s="783"/>
      <c r="B59" s="784"/>
      <c r="C59" s="781" t="s">
        <v>567</v>
      </c>
      <c r="D59" s="369" t="s">
        <v>34</v>
      </c>
      <c r="E59" s="351">
        <v>0.5</v>
      </c>
      <c r="F59" s="351">
        <v>0.5</v>
      </c>
      <c r="G59" s="351">
        <v>0.5</v>
      </c>
      <c r="H59" s="351">
        <v>0.5</v>
      </c>
      <c r="I59" s="351">
        <v>0.5</v>
      </c>
      <c r="J59" s="351">
        <v>0.5</v>
      </c>
      <c r="K59" s="389"/>
      <c r="L59" s="389"/>
      <c r="M59" s="389"/>
      <c r="N59" s="389"/>
      <c r="O59" s="389"/>
      <c r="P59" s="389"/>
      <c r="Q59" s="389"/>
      <c r="R59" s="389"/>
      <c r="S59" s="389"/>
      <c r="T59" s="351">
        <v>0.25</v>
      </c>
      <c r="U59" s="351"/>
      <c r="V59" s="351">
        <v>0.5</v>
      </c>
      <c r="W59" s="880" t="s">
        <v>235</v>
      </c>
      <c r="X59" s="880" t="s">
        <v>245</v>
      </c>
      <c r="Y59" s="880" t="s">
        <v>244</v>
      </c>
      <c r="Z59" s="880" t="s">
        <v>243</v>
      </c>
      <c r="AA59" s="880" t="s">
        <v>234</v>
      </c>
      <c r="AB59" s="880">
        <v>71273</v>
      </c>
      <c r="AC59" s="880">
        <v>79530</v>
      </c>
      <c r="AD59" s="880" t="s">
        <v>202</v>
      </c>
      <c r="AE59" s="880" t="s">
        <v>197</v>
      </c>
      <c r="AF59" s="880" t="s">
        <v>203</v>
      </c>
      <c r="AG59" s="880">
        <v>150803</v>
      </c>
      <c r="AH59" s="387"/>
    </row>
    <row r="60" spans="1:34" ht="20.25" customHeight="1" x14ac:dyDescent="0.2">
      <c r="A60" s="783"/>
      <c r="B60" s="784"/>
      <c r="C60" s="781"/>
      <c r="D60" s="354" t="s">
        <v>36</v>
      </c>
      <c r="E60" s="355">
        <f>1163153750/4+304550400</f>
        <v>595338837.5</v>
      </c>
      <c r="F60" s="355">
        <f t="shared" ref="F60:I60" si="20">1163153750/4+304550400</f>
        <v>595338837.5</v>
      </c>
      <c r="G60" s="355">
        <f t="shared" si="20"/>
        <v>595338837.5</v>
      </c>
      <c r="H60" s="355">
        <f t="shared" si="20"/>
        <v>595338837.5</v>
      </c>
      <c r="I60" s="355">
        <f t="shared" si="20"/>
        <v>595338837.5</v>
      </c>
      <c r="J60" s="355">
        <v>587088837.5</v>
      </c>
      <c r="K60" s="384"/>
      <c r="L60" s="384"/>
      <c r="M60" s="384"/>
      <c r="N60" s="384"/>
      <c r="O60" s="384"/>
      <c r="P60" s="384"/>
      <c r="Q60" s="384"/>
      <c r="R60" s="384"/>
      <c r="S60" s="384"/>
      <c r="T60" s="366">
        <f>143895390/8</f>
        <v>17986923.75</v>
      </c>
      <c r="U60" s="385"/>
      <c r="V60" s="366">
        <f>32616734.75+32177097</f>
        <v>64793831.75</v>
      </c>
      <c r="W60" s="880"/>
      <c r="X60" s="880"/>
      <c r="Y60" s="880"/>
      <c r="Z60" s="880"/>
      <c r="AA60" s="880"/>
      <c r="AB60" s="880"/>
      <c r="AC60" s="880"/>
      <c r="AD60" s="880"/>
      <c r="AE60" s="880"/>
      <c r="AF60" s="880"/>
      <c r="AG60" s="880"/>
      <c r="AH60" s="387"/>
    </row>
    <row r="61" spans="1:34" ht="20.25" customHeight="1" x14ac:dyDescent="0.2">
      <c r="A61" s="783"/>
      <c r="B61" s="784"/>
      <c r="C61" s="781"/>
      <c r="D61" s="354" t="s">
        <v>37</v>
      </c>
      <c r="E61" s="385"/>
      <c r="F61" s="385"/>
      <c r="G61" s="385"/>
      <c r="H61" s="385"/>
      <c r="I61" s="385"/>
      <c r="J61" s="385"/>
      <c r="K61" s="384"/>
      <c r="L61" s="384"/>
      <c r="M61" s="384"/>
      <c r="N61" s="384"/>
      <c r="O61" s="384"/>
      <c r="P61" s="384"/>
      <c r="Q61" s="384"/>
      <c r="R61" s="384"/>
      <c r="S61" s="384"/>
      <c r="T61" s="395"/>
      <c r="U61" s="385"/>
      <c r="V61" s="385"/>
      <c r="W61" s="880"/>
      <c r="X61" s="880"/>
      <c r="Y61" s="880"/>
      <c r="Z61" s="880"/>
      <c r="AA61" s="880"/>
      <c r="AB61" s="880"/>
      <c r="AC61" s="880"/>
      <c r="AD61" s="880"/>
      <c r="AE61" s="880"/>
      <c r="AF61" s="880"/>
      <c r="AG61" s="880"/>
      <c r="AH61" s="387"/>
    </row>
    <row r="62" spans="1:34" ht="20.25" customHeight="1" thickBot="1" x14ac:dyDescent="0.25">
      <c r="A62" s="783"/>
      <c r="B62" s="784"/>
      <c r="C62" s="781"/>
      <c r="D62" s="368" t="s">
        <v>38</v>
      </c>
      <c r="E62" s="359">
        <f t="shared" ref="E62:I62" si="21">218369514/8+61116080</f>
        <v>88412269.25</v>
      </c>
      <c r="F62" s="359">
        <f t="shared" si="21"/>
        <v>88412269.25</v>
      </c>
      <c r="G62" s="359">
        <f t="shared" si="21"/>
        <v>88412269.25</v>
      </c>
      <c r="H62" s="359">
        <f t="shared" si="21"/>
        <v>88412269.25</v>
      </c>
      <c r="I62" s="359">
        <f t="shared" si="21"/>
        <v>88412269.25</v>
      </c>
      <c r="J62" s="359">
        <v>88412269.25</v>
      </c>
      <c r="K62" s="384"/>
      <c r="L62" s="384"/>
      <c r="M62" s="384"/>
      <c r="N62" s="384"/>
      <c r="O62" s="384"/>
      <c r="P62" s="384"/>
      <c r="Q62" s="384"/>
      <c r="R62" s="384"/>
      <c r="S62" s="384"/>
      <c r="T62" s="375">
        <f>56249374/8+21689740</f>
        <v>28720911.75</v>
      </c>
      <c r="U62" s="385"/>
      <c r="V62" s="366">
        <f>4340334.25+6774750+53240701</f>
        <v>64355785.25</v>
      </c>
      <c r="W62" s="880"/>
      <c r="X62" s="880"/>
      <c r="Y62" s="880"/>
      <c r="Z62" s="880"/>
      <c r="AA62" s="880"/>
      <c r="AB62" s="880"/>
      <c r="AC62" s="880"/>
      <c r="AD62" s="880"/>
      <c r="AE62" s="880"/>
      <c r="AF62" s="880"/>
      <c r="AG62" s="880"/>
      <c r="AH62" s="387"/>
    </row>
    <row r="63" spans="1:34" ht="20.25" customHeight="1" x14ac:dyDescent="0.2">
      <c r="A63" s="783"/>
      <c r="B63" s="784"/>
      <c r="C63" s="781" t="s">
        <v>568</v>
      </c>
      <c r="D63" s="369" t="s">
        <v>34</v>
      </c>
      <c r="E63" s="351">
        <v>0.5</v>
      </c>
      <c r="F63" s="351">
        <v>0.5</v>
      </c>
      <c r="G63" s="351">
        <v>0.5</v>
      </c>
      <c r="H63" s="351">
        <v>0.5</v>
      </c>
      <c r="I63" s="351">
        <v>0.5</v>
      </c>
      <c r="J63" s="351">
        <v>0.5</v>
      </c>
      <c r="K63" s="389"/>
      <c r="L63" s="389"/>
      <c r="M63" s="389"/>
      <c r="N63" s="389"/>
      <c r="O63" s="389"/>
      <c r="P63" s="389"/>
      <c r="Q63" s="389"/>
      <c r="R63" s="389"/>
      <c r="S63" s="389"/>
      <c r="T63" s="351">
        <v>0.25</v>
      </c>
      <c r="U63" s="351"/>
      <c r="V63" s="351">
        <v>0.5</v>
      </c>
      <c r="W63" s="880" t="s">
        <v>241</v>
      </c>
      <c r="X63" s="880" t="s">
        <v>236</v>
      </c>
      <c r="Y63" s="880" t="s">
        <v>242</v>
      </c>
      <c r="Z63" s="880" t="s">
        <v>240</v>
      </c>
      <c r="AA63" s="880" t="s">
        <v>234</v>
      </c>
      <c r="AB63" s="880">
        <v>143423</v>
      </c>
      <c r="AC63" s="880">
        <v>158560</v>
      </c>
      <c r="AD63" s="880" t="s">
        <v>202</v>
      </c>
      <c r="AE63" s="880" t="s">
        <v>197</v>
      </c>
      <c r="AF63" s="880" t="s">
        <v>203</v>
      </c>
      <c r="AG63" s="880">
        <v>301983</v>
      </c>
      <c r="AH63" s="387"/>
    </row>
    <row r="64" spans="1:34" ht="20.25" customHeight="1" x14ac:dyDescent="0.2">
      <c r="A64" s="783"/>
      <c r="B64" s="784"/>
      <c r="C64" s="781"/>
      <c r="D64" s="354" t="s">
        <v>36</v>
      </c>
      <c r="E64" s="355">
        <f>1163153750/4+258550600-3575550</f>
        <v>545763487.5</v>
      </c>
      <c r="F64" s="355">
        <f t="shared" ref="F64:I64" si="22">1163153750/4+258550600-3575550</f>
        <v>545763487.5</v>
      </c>
      <c r="G64" s="355">
        <f t="shared" si="22"/>
        <v>545763487.5</v>
      </c>
      <c r="H64" s="355">
        <f t="shared" si="22"/>
        <v>545763487.5</v>
      </c>
      <c r="I64" s="355">
        <f t="shared" si="22"/>
        <v>545763487.5</v>
      </c>
      <c r="J64" s="355">
        <v>537513487.5</v>
      </c>
      <c r="K64" s="384"/>
      <c r="L64" s="384"/>
      <c r="M64" s="384"/>
      <c r="N64" s="384"/>
      <c r="O64" s="384"/>
      <c r="P64" s="384"/>
      <c r="Q64" s="384"/>
      <c r="R64" s="384"/>
      <c r="S64" s="384"/>
      <c r="T64" s="366">
        <f>143895390/8</f>
        <v>17986923.75</v>
      </c>
      <c r="U64" s="385"/>
      <c r="V64" s="366">
        <f>32616734.75+30389481</f>
        <v>63006215.75</v>
      </c>
      <c r="W64" s="880"/>
      <c r="X64" s="880"/>
      <c r="Y64" s="880"/>
      <c r="Z64" s="880"/>
      <c r="AA64" s="880"/>
      <c r="AB64" s="880"/>
      <c r="AC64" s="880"/>
      <c r="AD64" s="880"/>
      <c r="AE64" s="880"/>
      <c r="AF64" s="880"/>
      <c r="AG64" s="880"/>
      <c r="AH64" s="387"/>
    </row>
    <row r="65" spans="1:34" ht="20.25" customHeight="1" x14ac:dyDescent="0.2">
      <c r="A65" s="783"/>
      <c r="B65" s="784"/>
      <c r="C65" s="781"/>
      <c r="D65" s="354" t="s">
        <v>37</v>
      </c>
      <c r="E65" s="385"/>
      <c r="F65" s="385"/>
      <c r="G65" s="385"/>
      <c r="H65" s="385"/>
      <c r="I65" s="385"/>
      <c r="J65" s="385"/>
      <c r="K65" s="384"/>
      <c r="L65" s="384"/>
      <c r="M65" s="384"/>
      <c r="N65" s="384"/>
      <c r="O65" s="384"/>
      <c r="P65" s="384"/>
      <c r="Q65" s="384"/>
      <c r="R65" s="384"/>
      <c r="S65" s="384"/>
      <c r="T65" s="395"/>
      <c r="U65" s="385"/>
      <c r="V65" s="385"/>
      <c r="W65" s="880"/>
      <c r="X65" s="880"/>
      <c r="Y65" s="880"/>
      <c r="Z65" s="880"/>
      <c r="AA65" s="880"/>
      <c r="AB65" s="880"/>
      <c r="AC65" s="880"/>
      <c r="AD65" s="880"/>
      <c r="AE65" s="880"/>
      <c r="AF65" s="880"/>
      <c r="AG65" s="880"/>
      <c r="AH65" s="387"/>
    </row>
    <row r="66" spans="1:34" ht="20.25" customHeight="1" thickBot="1" x14ac:dyDescent="0.25">
      <c r="A66" s="783"/>
      <c r="B66" s="784"/>
      <c r="C66" s="781"/>
      <c r="D66" s="368" t="s">
        <v>38</v>
      </c>
      <c r="E66" s="359">
        <f t="shared" ref="E66:I66" si="23">218369514/8+26858966+38731090+14512701</f>
        <v>107398946.25</v>
      </c>
      <c r="F66" s="359">
        <f t="shared" si="23"/>
        <v>107398946.25</v>
      </c>
      <c r="G66" s="359">
        <f t="shared" si="23"/>
        <v>107398946.25</v>
      </c>
      <c r="H66" s="359">
        <f t="shared" si="23"/>
        <v>107398946.25</v>
      </c>
      <c r="I66" s="359">
        <f t="shared" si="23"/>
        <v>107398946.25</v>
      </c>
      <c r="J66" s="359">
        <v>107398946.25</v>
      </c>
      <c r="K66" s="384"/>
      <c r="L66" s="384"/>
      <c r="M66" s="384"/>
      <c r="N66" s="384"/>
      <c r="O66" s="384"/>
      <c r="P66" s="384"/>
      <c r="Q66" s="384"/>
      <c r="R66" s="384"/>
      <c r="S66" s="384"/>
      <c r="T66" s="367">
        <f>56249374/8+52203147</f>
        <v>59234318.75</v>
      </c>
      <c r="U66" s="385"/>
      <c r="V66" s="366">
        <f>4340334.25+6774750+66929057</f>
        <v>78044141.25</v>
      </c>
      <c r="W66" s="880"/>
      <c r="X66" s="880"/>
      <c r="Y66" s="880"/>
      <c r="Z66" s="880"/>
      <c r="AA66" s="880"/>
      <c r="AB66" s="880"/>
      <c r="AC66" s="880"/>
      <c r="AD66" s="880"/>
      <c r="AE66" s="880"/>
      <c r="AF66" s="880"/>
      <c r="AG66" s="880"/>
      <c r="AH66" s="387"/>
    </row>
    <row r="67" spans="1:34" ht="20.25" customHeight="1" x14ac:dyDescent="0.2">
      <c r="A67" s="783"/>
      <c r="B67" s="784"/>
      <c r="C67" s="781" t="s">
        <v>337</v>
      </c>
      <c r="D67" s="369" t="s">
        <v>34</v>
      </c>
      <c r="E67" s="351">
        <f t="shared" ref="E67:I67" si="24">+E63+E59+E55+E51+E47+E43+E39+E35</f>
        <v>6</v>
      </c>
      <c r="F67" s="351">
        <f t="shared" si="24"/>
        <v>6</v>
      </c>
      <c r="G67" s="351">
        <f t="shared" si="24"/>
        <v>6</v>
      </c>
      <c r="H67" s="351">
        <f t="shared" si="24"/>
        <v>6</v>
      </c>
      <c r="I67" s="351">
        <f t="shared" si="24"/>
        <v>6</v>
      </c>
      <c r="J67" s="351">
        <v>6</v>
      </c>
      <c r="K67" s="389"/>
      <c r="L67" s="389"/>
      <c r="M67" s="389"/>
      <c r="N67" s="389"/>
      <c r="O67" s="389"/>
      <c r="P67" s="389"/>
      <c r="Q67" s="389"/>
      <c r="R67" s="389"/>
      <c r="S67" s="389"/>
      <c r="T67" s="351">
        <f>+T63+T59+T55+T51+T47+T43+T39+T35</f>
        <v>5</v>
      </c>
      <c r="U67" s="351">
        <f t="shared" ref="U67:V68" si="25">+U63+U59+U55+U51+U47+U43+U39+U35</f>
        <v>0</v>
      </c>
      <c r="V67" s="351">
        <f t="shared" si="25"/>
        <v>6</v>
      </c>
      <c r="W67" s="876"/>
      <c r="X67" s="876"/>
      <c r="Y67" s="876"/>
      <c r="Z67" s="876"/>
      <c r="AA67" s="876"/>
      <c r="AB67" s="876"/>
      <c r="AC67" s="876"/>
      <c r="AD67" s="876"/>
      <c r="AE67" s="876"/>
      <c r="AF67" s="876"/>
      <c r="AG67" s="876"/>
      <c r="AH67" s="396"/>
    </row>
    <row r="68" spans="1:34" ht="20.25" customHeight="1" x14ac:dyDescent="0.2">
      <c r="A68" s="783"/>
      <c r="B68" s="784"/>
      <c r="C68" s="781"/>
      <c r="D68" s="354" t="s">
        <v>36</v>
      </c>
      <c r="E68" s="355">
        <f t="shared" ref="E68:I68" si="26">+E36+E40+E44+E48+E52+E56+E60+E64</f>
        <v>2997598000</v>
      </c>
      <c r="F68" s="355">
        <f t="shared" si="26"/>
        <v>2997598000</v>
      </c>
      <c r="G68" s="355">
        <f t="shared" si="26"/>
        <v>2997598000</v>
      </c>
      <c r="H68" s="355">
        <f t="shared" si="26"/>
        <v>2997598000</v>
      </c>
      <c r="I68" s="355">
        <f t="shared" si="26"/>
        <v>2997598000</v>
      </c>
      <c r="J68" s="355">
        <v>2931598000</v>
      </c>
      <c r="K68" s="384"/>
      <c r="L68" s="384"/>
      <c r="M68" s="384"/>
      <c r="N68" s="384"/>
      <c r="O68" s="384"/>
      <c r="P68" s="384"/>
      <c r="Q68" s="384"/>
      <c r="R68" s="384"/>
      <c r="S68" s="384"/>
      <c r="T68" s="366">
        <f>+T64+T60+T56+T52+T48+T44+T40+T36</f>
        <v>189545271</v>
      </c>
      <c r="U68" s="366">
        <f t="shared" si="25"/>
        <v>0</v>
      </c>
      <c r="V68" s="366">
        <f t="shared" si="25"/>
        <v>897795684</v>
      </c>
      <c r="W68" s="876"/>
      <c r="X68" s="876"/>
      <c r="Y68" s="876"/>
      <c r="Z68" s="876"/>
      <c r="AA68" s="876"/>
      <c r="AB68" s="876"/>
      <c r="AC68" s="876"/>
      <c r="AD68" s="876"/>
      <c r="AE68" s="876"/>
      <c r="AF68" s="876"/>
      <c r="AG68" s="876"/>
      <c r="AH68" s="396"/>
    </row>
    <row r="69" spans="1:34" ht="20.25" customHeight="1" x14ac:dyDescent="0.2">
      <c r="A69" s="783"/>
      <c r="B69" s="784"/>
      <c r="C69" s="781"/>
      <c r="D69" s="354" t="s">
        <v>37</v>
      </c>
      <c r="E69" s="385"/>
      <c r="F69" s="385"/>
      <c r="G69" s="385"/>
      <c r="H69" s="385"/>
      <c r="I69" s="385"/>
      <c r="J69" s="385"/>
      <c r="K69" s="384"/>
      <c r="L69" s="384"/>
      <c r="M69" s="384"/>
      <c r="N69" s="384"/>
      <c r="O69" s="384"/>
      <c r="P69" s="384"/>
      <c r="Q69" s="384"/>
      <c r="R69" s="384"/>
      <c r="S69" s="384"/>
      <c r="T69" s="386"/>
      <c r="U69" s="385"/>
      <c r="V69" s="385"/>
      <c r="W69" s="876"/>
      <c r="X69" s="876"/>
      <c r="Y69" s="876"/>
      <c r="Z69" s="876"/>
      <c r="AA69" s="876"/>
      <c r="AB69" s="876"/>
      <c r="AC69" s="876"/>
      <c r="AD69" s="876"/>
      <c r="AE69" s="876"/>
      <c r="AF69" s="876"/>
      <c r="AG69" s="876"/>
      <c r="AH69" s="396"/>
    </row>
    <row r="70" spans="1:34" ht="20.25" customHeight="1" thickBot="1" x14ac:dyDescent="0.25">
      <c r="A70" s="858"/>
      <c r="B70" s="860"/>
      <c r="C70" s="856"/>
      <c r="D70" s="397" t="s">
        <v>38</v>
      </c>
      <c r="E70" s="363">
        <f t="shared" ref="E70:I70" si="27">+E66+E62+E58+E54+E50+E46+E42+E38</f>
        <v>504898189</v>
      </c>
      <c r="F70" s="363">
        <f t="shared" si="27"/>
        <v>504898189</v>
      </c>
      <c r="G70" s="363">
        <f t="shared" si="27"/>
        <v>504898189</v>
      </c>
      <c r="H70" s="363">
        <f t="shared" si="27"/>
        <v>504898189</v>
      </c>
      <c r="I70" s="363">
        <f t="shared" si="27"/>
        <v>504898189</v>
      </c>
      <c r="J70" s="363">
        <v>504898189</v>
      </c>
      <c r="K70" s="398"/>
      <c r="L70" s="398"/>
      <c r="M70" s="398"/>
      <c r="N70" s="398"/>
      <c r="O70" s="398"/>
      <c r="P70" s="398"/>
      <c r="Q70" s="398"/>
      <c r="R70" s="398"/>
      <c r="S70" s="398"/>
      <c r="T70" s="361">
        <f>+T38+T42+T46+T50+T54+T58+T62+T66</f>
        <v>194614425</v>
      </c>
      <c r="U70" s="361">
        <f t="shared" ref="U70:V70" si="28">+U38+U42+U46+U50+U54+U58+U62+U66</f>
        <v>0</v>
      </c>
      <c r="V70" s="361">
        <f t="shared" si="28"/>
        <v>277966525</v>
      </c>
      <c r="W70" s="876"/>
      <c r="X70" s="876"/>
      <c r="Y70" s="876"/>
      <c r="Z70" s="876"/>
      <c r="AA70" s="876"/>
      <c r="AB70" s="876"/>
      <c r="AC70" s="876"/>
      <c r="AD70" s="876"/>
      <c r="AE70" s="876"/>
      <c r="AF70" s="876"/>
      <c r="AG70" s="876"/>
      <c r="AH70" s="399"/>
    </row>
    <row r="71" spans="1:34" ht="18.75" customHeight="1" x14ac:dyDescent="0.2">
      <c r="A71" s="809">
        <v>7</v>
      </c>
      <c r="B71" s="877" t="s">
        <v>155</v>
      </c>
      <c r="C71" s="878" t="s">
        <v>569</v>
      </c>
      <c r="D71" s="400" t="s">
        <v>34</v>
      </c>
      <c r="E71" s="401"/>
      <c r="F71" s="401"/>
      <c r="G71" s="401"/>
      <c r="H71" s="401"/>
      <c r="I71" s="401"/>
      <c r="J71" s="401"/>
      <c r="K71" s="402"/>
      <c r="L71" s="402"/>
      <c r="M71" s="402"/>
      <c r="N71" s="402"/>
      <c r="O71" s="402"/>
      <c r="P71" s="402"/>
      <c r="Q71" s="402"/>
      <c r="R71" s="402"/>
      <c r="S71" s="402"/>
      <c r="T71" s="401"/>
      <c r="U71" s="403"/>
      <c r="V71" s="403"/>
      <c r="W71" s="791" t="s">
        <v>196</v>
      </c>
      <c r="X71" s="791" t="s">
        <v>336</v>
      </c>
      <c r="Y71" s="791" t="s">
        <v>246</v>
      </c>
      <c r="Z71" s="791" t="s">
        <v>323</v>
      </c>
      <c r="AA71" s="791" t="s">
        <v>247</v>
      </c>
      <c r="AB71" s="791">
        <v>69549</v>
      </c>
      <c r="AC71" s="791">
        <v>76596</v>
      </c>
      <c r="AD71" s="791" t="s">
        <v>202</v>
      </c>
      <c r="AE71" s="791" t="s">
        <v>197</v>
      </c>
      <c r="AF71" s="791" t="s">
        <v>203</v>
      </c>
      <c r="AG71" s="791">
        <v>146145</v>
      </c>
      <c r="AH71" s="404"/>
    </row>
    <row r="72" spans="1:34" ht="18.75" customHeight="1" x14ac:dyDescent="0.2">
      <c r="A72" s="783"/>
      <c r="B72" s="784"/>
      <c r="C72" s="781"/>
      <c r="D72" s="405" t="s">
        <v>36</v>
      </c>
      <c r="E72" s="366"/>
      <c r="F72" s="366"/>
      <c r="G72" s="366"/>
      <c r="H72" s="366"/>
      <c r="I72" s="366"/>
      <c r="J72" s="366"/>
      <c r="K72" s="384"/>
      <c r="L72" s="384"/>
      <c r="M72" s="384"/>
      <c r="N72" s="384"/>
      <c r="O72" s="384"/>
      <c r="P72" s="384"/>
      <c r="Q72" s="384"/>
      <c r="R72" s="384"/>
      <c r="S72" s="384"/>
      <c r="T72" s="366"/>
      <c r="U72" s="385"/>
      <c r="V72" s="385"/>
      <c r="W72" s="792"/>
      <c r="X72" s="792"/>
      <c r="Y72" s="792"/>
      <c r="Z72" s="792"/>
      <c r="AA72" s="792"/>
      <c r="AB72" s="792"/>
      <c r="AC72" s="792"/>
      <c r="AD72" s="792"/>
      <c r="AE72" s="792"/>
      <c r="AF72" s="792"/>
      <c r="AG72" s="792"/>
      <c r="AH72" s="406"/>
    </row>
    <row r="73" spans="1:34" ht="18.75" customHeight="1" x14ac:dyDescent="0.2">
      <c r="A73" s="783"/>
      <c r="B73" s="784"/>
      <c r="C73" s="781"/>
      <c r="D73" s="405" t="s">
        <v>37</v>
      </c>
      <c r="E73" s="78">
        <v>100</v>
      </c>
      <c r="F73" s="78">
        <v>100</v>
      </c>
      <c r="G73" s="78">
        <v>100</v>
      </c>
      <c r="H73" s="78">
        <v>100</v>
      </c>
      <c r="I73" s="78">
        <v>100</v>
      </c>
      <c r="J73" s="78">
        <v>100</v>
      </c>
      <c r="K73" s="407"/>
      <c r="L73" s="407"/>
      <c r="M73" s="407"/>
      <c r="N73" s="407"/>
      <c r="O73" s="407"/>
      <c r="P73" s="407"/>
      <c r="Q73" s="407"/>
      <c r="R73" s="407"/>
      <c r="S73" s="407"/>
      <c r="T73" s="78">
        <v>100</v>
      </c>
      <c r="U73" s="408"/>
      <c r="V73" s="78">
        <v>100</v>
      </c>
      <c r="W73" s="792"/>
      <c r="X73" s="792"/>
      <c r="Y73" s="792"/>
      <c r="Z73" s="792"/>
      <c r="AA73" s="792"/>
      <c r="AB73" s="792"/>
      <c r="AC73" s="792"/>
      <c r="AD73" s="792"/>
      <c r="AE73" s="792"/>
      <c r="AF73" s="792"/>
      <c r="AG73" s="792"/>
      <c r="AH73" s="406"/>
    </row>
    <row r="74" spans="1:34" ht="18.75" customHeight="1" thickBot="1" x14ac:dyDescent="0.25">
      <c r="A74" s="807"/>
      <c r="B74" s="833"/>
      <c r="C74" s="879"/>
      <c r="D74" s="409" t="s">
        <v>38</v>
      </c>
      <c r="E74" s="359">
        <v>5595000</v>
      </c>
      <c r="F74" s="359">
        <v>5595000</v>
      </c>
      <c r="G74" s="359">
        <v>5595000</v>
      </c>
      <c r="H74" s="359">
        <v>5595000</v>
      </c>
      <c r="I74" s="359">
        <v>5595000</v>
      </c>
      <c r="J74" s="359">
        <v>5595000</v>
      </c>
      <c r="K74" s="410"/>
      <c r="L74" s="410"/>
      <c r="M74" s="410"/>
      <c r="N74" s="410"/>
      <c r="O74" s="410"/>
      <c r="P74" s="410"/>
      <c r="Q74" s="410"/>
      <c r="R74" s="410"/>
      <c r="S74" s="410"/>
      <c r="T74" s="411">
        <v>0</v>
      </c>
      <c r="U74" s="412"/>
      <c r="V74" s="412">
        <v>0</v>
      </c>
      <c r="W74" s="875"/>
      <c r="X74" s="875"/>
      <c r="Y74" s="875"/>
      <c r="Z74" s="875"/>
      <c r="AA74" s="875"/>
      <c r="AB74" s="875"/>
      <c r="AC74" s="875"/>
      <c r="AD74" s="875"/>
      <c r="AE74" s="875"/>
      <c r="AF74" s="875"/>
      <c r="AG74" s="875"/>
      <c r="AH74" s="413"/>
    </row>
    <row r="75" spans="1:34" x14ac:dyDescent="0.2">
      <c r="A75" s="857">
        <v>8</v>
      </c>
      <c r="B75" s="859" t="s">
        <v>156</v>
      </c>
      <c r="C75" s="859" t="s">
        <v>248</v>
      </c>
      <c r="D75" s="364" t="s">
        <v>34</v>
      </c>
      <c r="E75" s="351">
        <v>1</v>
      </c>
      <c r="F75" s="351">
        <v>1</v>
      </c>
      <c r="G75" s="351">
        <v>1</v>
      </c>
      <c r="H75" s="351">
        <v>1</v>
      </c>
      <c r="I75" s="351">
        <v>1</v>
      </c>
      <c r="J75" s="351">
        <v>1</v>
      </c>
      <c r="K75" s="389"/>
      <c r="L75" s="389"/>
      <c r="M75" s="389"/>
      <c r="N75" s="389"/>
      <c r="O75" s="389"/>
      <c r="P75" s="389"/>
      <c r="Q75" s="389"/>
      <c r="R75" s="389"/>
      <c r="S75" s="389"/>
      <c r="T75" s="351">
        <v>1</v>
      </c>
      <c r="U75" s="351"/>
      <c r="V75" s="351">
        <v>1</v>
      </c>
      <c r="W75" s="872" t="s">
        <v>250</v>
      </c>
      <c r="X75" s="871" t="s">
        <v>251</v>
      </c>
      <c r="Y75" s="871" t="s">
        <v>252</v>
      </c>
      <c r="Z75" s="871"/>
      <c r="AA75" s="871" t="s">
        <v>253</v>
      </c>
      <c r="AB75" s="871">
        <v>1357</v>
      </c>
      <c r="AC75" s="871">
        <v>1226</v>
      </c>
      <c r="AD75" s="871" t="s">
        <v>202</v>
      </c>
      <c r="AE75" s="871" t="s">
        <v>197</v>
      </c>
      <c r="AF75" s="871" t="s">
        <v>203</v>
      </c>
      <c r="AG75" s="871">
        <v>2583</v>
      </c>
      <c r="AH75" s="414"/>
    </row>
    <row r="76" spans="1:34" x14ac:dyDescent="0.2">
      <c r="A76" s="783"/>
      <c r="B76" s="784"/>
      <c r="C76" s="784"/>
      <c r="D76" s="354" t="s">
        <v>36</v>
      </c>
      <c r="E76" s="355">
        <v>98690750</v>
      </c>
      <c r="F76" s="355">
        <v>98690750</v>
      </c>
      <c r="G76" s="355">
        <v>98690750</v>
      </c>
      <c r="H76" s="355">
        <v>98690750</v>
      </c>
      <c r="I76" s="355">
        <v>98690750</v>
      </c>
      <c r="J76" s="355">
        <v>98690750</v>
      </c>
      <c r="K76" s="384"/>
      <c r="L76" s="384"/>
      <c r="M76" s="384"/>
      <c r="N76" s="384"/>
      <c r="O76" s="384"/>
      <c r="P76" s="384"/>
      <c r="Q76" s="384"/>
      <c r="R76" s="384"/>
      <c r="S76" s="384"/>
      <c r="T76" s="366">
        <f>19987356/4</f>
        <v>4996839</v>
      </c>
      <c r="U76" s="385"/>
      <c r="V76" s="366">
        <f>52122017/4</f>
        <v>13030504.25</v>
      </c>
      <c r="W76" s="873"/>
      <c r="X76" s="792"/>
      <c r="Y76" s="792"/>
      <c r="Z76" s="792"/>
      <c r="AA76" s="792"/>
      <c r="AB76" s="792"/>
      <c r="AC76" s="792"/>
      <c r="AD76" s="792"/>
      <c r="AE76" s="792"/>
      <c r="AF76" s="792"/>
      <c r="AG76" s="792"/>
      <c r="AH76" s="387"/>
    </row>
    <row r="77" spans="1:34" x14ac:dyDescent="0.2">
      <c r="A77" s="783"/>
      <c r="B77" s="784"/>
      <c r="C77" s="784"/>
      <c r="D77" s="354" t="s">
        <v>37</v>
      </c>
      <c r="E77" s="385"/>
      <c r="F77" s="385"/>
      <c r="G77" s="385"/>
      <c r="H77" s="385"/>
      <c r="I77" s="385"/>
      <c r="J77" s="385"/>
      <c r="K77" s="384"/>
      <c r="L77" s="384"/>
      <c r="M77" s="384"/>
      <c r="N77" s="384"/>
      <c r="O77" s="384"/>
      <c r="P77" s="384"/>
      <c r="Q77" s="384"/>
      <c r="R77" s="384"/>
      <c r="S77" s="384"/>
      <c r="T77" s="415"/>
      <c r="U77" s="385"/>
      <c r="V77" s="415"/>
      <c r="W77" s="873"/>
      <c r="X77" s="792"/>
      <c r="Y77" s="792"/>
      <c r="Z77" s="792"/>
      <c r="AA77" s="792"/>
      <c r="AB77" s="792"/>
      <c r="AC77" s="792"/>
      <c r="AD77" s="792"/>
      <c r="AE77" s="792"/>
      <c r="AF77" s="792"/>
      <c r="AG77" s="792"/>
      <c r="AH77" s="387"/>
    </row>
    <row r="78" spans="1:34" ht="23.25" thickBot="1" x14ac:dyDescent="0.25">
      <c r="A78" s="783"/>
      <c r="B78" s="784"/>
      <c r="C78" s="784"/>
      <c r="D78" s="368" t="s">
        <v>38</v>
      </c>
      <c r="E78" s="359">
        <f t="shared" ref="E78:I78" si="29">22807635/4</f>
        <v>5701908.75</v>
      </c>
      <c r="F78" s="359">
        <f t="shared" si="29"/>
        <v>5701908.75</v>
      </c>
      <c r="G78" s="359">
        <f t="shared" si="29"/>
        <v>5701908.75</v>
      </c>
      <c r="H78" s="359">
        <f t="shared" si="29"/>
        <v>5701908.75</v>
      </c>
      <c r="I78" s="359">
        <f t="shared" si="29"/>
        <v>5701908.75</v>
      </c>
      <c r="J78" s="359">
        <v>5701908.75</v>
      </c>
      <c r="K78" s="384"/>
      <c r="L78" s="384"/>
      <c r="M78" s="384"/>
      <c r="N78" s="384"/>
      <c r="O78" s="384"/>
      <c r="P78" s="384"/>
      <c r="Q78" s="384"/>
      <c r="R78" s="384"/>
      <c r="S78" s="384"/>
      <c r="T78" s="366">
        <f>20941961/4</f>
        <v>5235490.25</v>
      </c>
      <c r="U78" s="385"/>
      <c r="V78" s="366">
        <f>22807635/4</f>
        <v>5701908.75</v>
      </c>
      <c r="W78" s="874"/>
      <c r="X78" s="793"/>
      <c r="Y78" s="793"/>
      <c r="Z78" s="793"/>
      <c r="AA78" s="793"/>
      <c r="AB78" s="793"/>
      <c r="AC78" s="793"/>
      <c r="AD78" s="793"/>
      <c r="AE78" s="793"/>
      <c r="AF78" s="793"/>
      <c r="AG78" s="793"/>
      <c r="AH78" s="387"/>
    </row>
    <row r="79" spans="1:34" x14ac:dyDescent="0.2">
      <c r="A79" s="783"/>
      <c r="B79" s="784"/>
      <c r="C79" s="784" t="s">
        <v>249</v>
      </c>
      <c r="D79" s="369" t="s">
        <v>34</v>
      </c>
      <c r="E79" s="351">
        <v>1</v>
      </c>
      <c r="F79" s="351">
        <v>1</v>
      </c>
      <c r="G79" s="351">
        <v>1</v>
      </c>
      <c r="H79" s="351">
        <v>1</v>
      </c>
      <c r="I79" s="351">
        <v>1</v>
      </c>
      <c r="J79" s="351">
        <v>1</v>
      </c>
      <c r="K79" s="384"/>
      <c r="L79" s="384"/>
      <c r="M79" s="384"/>
      <c r="N79" s="384"/>
      <c r="O79" s="384"/>
      <c r="P79" s="384"/>
      <c r="Q79" s="384"/>
      <c r="R79" s="384"/>
      <c r="S79" s="384"/>
      <c r="T79" s="351">
        <v>1</v>
      </c>
      <c r="U79" s="351"/>
      <c r="V79" s="351">
        <v>1</v>
      </c>
      <c r="W79" s="872" t="s">
        <v>279</v>
      </c>
      <c r="X79" s="871" t="s">
        <v>255</v>
      </c>
      <c r="Y79" s="871" t="s">
        <v>254</v>
      </c>
      <c r="Z79" s="871" t="s">
        <v>256</v>
      </c>
      <c r="AA79" s="871" t="s">
        <v>259</v>
      </c>
      <c r="AB79" s="871">
        <v>37165</v>
      </c>
      <c r="AC79" s="871">
        <v>38660</v>
      </c>
      <c r="AD79" s="871" t="s">
        <v>202</v>
      </c>
      <c r="AE79" s="871" t="s">
        <v>197</v>
      </c>
      <c r="AF79" s="871" t="s">
        <v>203</v>
      </c>
      <c r="AG79" s="871">
        <v>75825</v>
      </c>
      <c r="AH79" s="872"/>
    </row>
    <row r="80" spans="1:34" x14ac:dyDescent="0.2">
      <c r="A80" s="783"/>
      <c r="B80" s="784"/>
      <c r="C80" s="784"/>
      <c r="D80" s="354" t="s">
        <v>36</v>
      </c>
      <c r="E80" s="355">
        <v>98690750</v>
      </c>
      <c r="F80" s="355">
        <v>98690750</v>
      </c>
      <c r="G80" s="355">
        <v>98690750</v>
      </c>
      <c r="H80" s="355">
        <v>98690750</v>
      </c>
      <c r="I80" s="355">
        <v>98690750</v>
      </c>
      <c r="J80" s="355">
        <v>98690750</v>
      </c>
      <c r="K80" s="384"/>
      <c r="L80" s="384"/>
      <c r="M80" s="384"/>
      <c r="N80" s="384"/>
      <c r="O80" s="384"/>
      <c r="P80" s="384"/>
      <c r="Q80" s="384"/>
      <c r="R80" s="384"/>
      <c r="S80" s="384"/>
      <c r="T80" s="366">
        <v>4996839</v>
      </c>
      <c r="U80" s="385"/>
      <c r="V80" s="366">
        <v>13030504.25</v>
      </c>
      <c r="W80" s="873"/>
      <c r="X80" s="792"/>
      <c r="Y80" s="792"/>
      <c r="Z80" s="792"/>
      <c r="AA80" s="792"/>
      <c r="AB80" s="792"/>
      <c r="AC80" s="792"/>
      <c r="AD80" s="792"/>
      <c r="AE80" s="792"/>
      <c r="AF80" s="792"/>
      <c r="AG80" s="792"/>
      <c r="AH80" s="873"/>
    </row>
    <row r="81" spans="1:34" x14ac:dyDescent="0.2">
      <c r="A81" s="783"/>
      <c r="B81" s="784"/>
      <c r="C81" s="784"/>
      <c r="D81" s="354" t="s">
        <v>37</v>
      </c>
      <c r="E81" s="385"/>
      <c r="F81" s="385"/>
      <c r="G81" s="385"/>
      <c r="H81" s="385"/>
      <c r="I81" s="385"/>
      <c r="J81" s="385"/>
      <c r="K81" s="384"/>
      <c r="L81" s="384"/>
      <c r="M81" s="384"/>
      <c r="N81" s="384"/>
      <c r="O81" s="384"/>
      <c r="P81" s="384"/>
      <c r="Q81" s="384"/>
      <c r="R81" s="384"/>
      <c r="S81" s="384"/>
      <c r="T81" s="415"/>
      <c r="U81" s="385"/>
      <c r="V81" s="415"/>
      <c r="W81" s="873"/>
      <c r="X81" s="792"/>
      <c r="Y81" s="792"/>
      <c r="Z81" s="792"/>
      <c r="AA81" s="792"/>
      <c r="AB81" s="792"/>
      <c r="AC81" s="792"/>
      <c r="AD81" s="792"/>
      <c r="AE81" s="792"/>
      <c r="AF81" s="792"/>
      <c r="AG81" s="792"/>
      <c r="AH81" s="873"/>
    </row>
    <row r="82" spans="1:34" ht="23.25" thickBot="1" x14ac:dyDescent="0.25">
      <c r="A82" s="783"/>
      <c r="B82" s="784"/>
      <c r="C82" s="784"/>
      <c r="D82" s="368" t="s">
        <v>38</v>
      </c>
      <c r="E82" s="359">
        <f t="shared" ref="E82:I82" si="30">22807635/4</f>
        <v>5701908.75</v>
      </c>
      <c r="F82" s="359">
        <f t="shared" si="30"/>
        <v>5701908.75</v>
      </c>
      <c r="G82" s="359">
        <f t="shared" si="30"/>
        <v>5701908.75</v>
      </c>
      <c r="H82" s="359">
        <f t="shared" si="30"/>
        <v>5701908.75</v>
      </c>
      <c r="I82" s="359">
        <f t="shared" si="30"/>
        <v>5701908.75</v>
      </c>
      <c r="J82" s="359">
        <v>5701908.75</v>
      </c>
      <c r="K82" s="384"/>
      <c r="L82" s="384"/>
      <c r="M82" s="384"/>
      <c r="N82" s="384"/>
      <c r="O82" s="384"/>
      <c r="P82" s="384"/>
      <c r="Q82" s="384"/>
      <c r="R82" s="384"/>
      <c r="S82" s="384"/>
      <c r="T82" s="366">
        <f>20941961/4</f>
        <v>5235490.25</v>
      </c>
      <c r="U82" s="385"/>
      <c r="V82" s="366">
        <v>5701908.75</v>
      </c>
      <c r="W82" s="874"/>
      <c r="X82" s="793"/>
      <c r="Y82" s="793"/>
      <c r="Z82" s="793"/>
      <c r="AA82" s="793"/>
      <c r="AB82" s="793"/>
      <c r="AC82" s="793"/>
      <c r="AD82" s="793"/>
      <c r="AE82" s="793"/>
      <c r="AF82" s="793"/>
      <c r="AG82" s="793"/>
      <c r="AH82" s="874"/>
    </row>
    <row r="83" spans="1:34" x14ac:dyDescent="0.2">
      <c r="A83" s="783"/>
      <c r="B83" s="784"/>
      <c r="C83" s="781" t="s">
        <v>368</v>
      </c>
      <c r="D83" s="369" t="s">
        <v>34</v>
      </c>
      <c r="E83" s="351">
        <v>1</v>
      </c>
      <c r="F83" s="351">
        <v>1</v>
      </c>
      <c r="G83" s="351">
        <v>1</v>
      </c>
      <c r="H83" s="351">
        <v>1</v>
      </c>
      <c r="I83" s="351">
        <v>1</v>
      </c>
      <c r="J83" s="351">
        <v>1</v>
      </c>
      <c r="K83" s="384"/>
      <c r="L83" s="384"/>
      <c r="M83" s="384"/>
      <c r="N83" s="384"/>
      <c r="O83" s="384"/>
      <c r="P83" s="384"/>
      <c r="Q83" s="384"/>
      <c r="R83" s="384"/>
      <c r="S83" s="384"/>
      <c r="T83" s="351">
        <v>1</v>
      </c>
      <c r="U83" s="351"/>
      <c r="V83" s="351">
        <v>1</v>
      </c>
      <c r="W83" s="872" t="s">
        <v>250</v>
      </c>
      <c r="X83" s="871"/>
      <c r="Y83" s="871" t="s">
        <v>269</v>
      </c>
      <c r="Z83" s="871" t="s">
        <v>270</v>
      </c>
      <c r="AA83" s="871" t="s">
        <v>271</v>
      </c>
      <c r="AB83" s="871">
        <v>211224</v>
      </c>
      <c r="AC83" s="871">
        <v>215866</v>
      </c>
      <c r="AD83" s="871" t="s">
        <v>202</v>
      </c>
      <c r="AE83" s="871" t="s">
        <v>197</v>
      </c>
      <c r="AF83" s="871" t="s">
        <v>203</v>
      </c>
      <c r="AG83" s="871">
        <v>427090</v>
      </c>
      <c r="AH83" s="872"/>
    </row>
    <row r="84" spans="1:34" x14ac:dyDescent="0.2">
      <c r="A84" s="783"/>
      <c r="B84" s="784"/>
      <c r="C84" s="781"/>
      <c r="D84" s="354" t="s">
        <v>36</v>
      </c>
      <c r="E84" s="355">
        <v>98690750</v>
      </c>
      <c r="F84" s="355">
        <v>98690750</v>
      </c>
      <c r="G84" s="355">
        <v>98690750</v>
      </c>
      <c r="H84" s="355">
        <v>98690750</v>
      </c>
      <c r="I84" s="355">
        <v>98690750</v>
      </c>
      <c r="J84" s="355">
        <v>98690750</v>
      </c>
      <c r="K84" s="384"/>
      <c r="L84" s="384"/>
      <c r="M84" s="384"/>
      <c r="N84" s="384"/>
      <c r="O84" s="384"/>
      <c r="P84" s="384"/>
      <c r="Q84" s="384"/>
      <c r="R84" s="384"/>
      <c r="S84" s="384"/>
      <c r="T84" s="366">
        <v>4996839</v>
      </c>
      <c r="U84" s="385"/>
      <c r="V84" s="366">
        <v>13030504.25</v>
      </c>
      <c r="W84" s="873"/>
      <c r="X84" s="792"/>
      <c r="Y84" s="792"/>
      <c r="Z84" s="792"/>
      <c r="AA84" s="792"/>
      <c r="AB84" s="792"/>
      <c r="AC84" s="792"/>
      <c r="AD84" s="792"/>
      <c r="AE84" s="792"/>
      <c r="AF84" s="792"/>
      <c r="AG84" s="792"/>
      <c r="AH84" s="873"/>
    </row>
    <row r="85" spans="1:34" x14ac:dyDescent="0.2">
      <c r="A85" s="783"/>
      <c r="B85" s="784"/>
      <c r="C85" s="781"/>
      <c r="D85" s="354" t="s">
        <v>37</v>
      </c>
      <c r="E85" s="385"/>
      <c r="F85" s="385"/>
      <c r="G85" s="385"/>
      <c r="H85" s="385"/>
      <c r="I85" s="385"/>
      <c r="J85" s="385"/>
      <c r="K85" s="384"/>
      <c r="L85" s="384"/>
      <c r="M85" s="384"/>
      <c r="N85" s="384"/>
      <c r="O85" s="384"/>
      <c r="P85" s="384"/>
      <c r="Q85" s="384"/>
      <c r="R85" s="384"/>
      <c r="S85" s="384"/>
      <c r="T85" s="415"/>
      <c r="U85" s="385"/>
      <c r="V85" s="415"/>
      <c r="W85" s="873"/>
      <c r="X85" s="792"/>
      <c r="Y85" s="792"/>
      <c r="Z85" s="792"/>
      <c r="AA85" s="792"/>
      <c r="AB85" s="792"/>
      <c r="AC85" s="792"/>
      <c r="AD85" s="792"/>
      <c r="AE85" s="792"/>
      <c r="AF85" s="792"/>
      <c r="AG85" s="792"/>
      <c r="AH85" s="873"/>
    </row>
    <row r="86" spans="1:34" ht="23.25" thickBot="1" x14ac:dyDescent="0.25">
      <c r="A86" s="783"/>
      <c r="B86" s="784"/>
      <c r="C86" s="781"/>
      <c r="D86" s="368" t="s">
        <v>38</v>
      </c>
      <c r="E86" s="359">
        <f t="shared" ref="E86:I86" si="31">22807635/4</f>
        <v>5701908.75</v>
      </c>
      <c r="F86" s="359">
        <f t="shared" si="31"/>
        <v>5701908.75</v>
      </c>
      <c r="G86" s="359">
        <f t="shared" si="31"/>
        <v>5701908.75</v>
      </c>
      <c r="H86" s="359">
        <f t="shared" si="31"/>
        <v>5701908.75</v>
      </c>
      <c r="I86" s="359">
        <f t="shared" si="31"/>
        <v>5701908.75</v>
      </c>
      <c r="J86" s="359">
        <v>5701908.75</v>
      </c>
      <c r="K86" s="384"/>
      <c r="L86" s="384"/>
      <c r="M86" s="384"/>
      <c r="N86" s="384"/>
      <c r="O86" s="384"/>
      <c r="P86" s="384"/>
      <c r="Q86" s="384"/>
      <c r="R86" s="384"/>
      <c r="S86" s="384"/>
      <c r="T86" s="366">
        <f>20941961/4</f>
        <v>5235490.25</v>
      </c>
      <c r="U86" s="385"/>
      <c r="V86" s="366">
        <v>5701908.75</v>
      </c>
      <c r="W86" s="874"/>
      <c r="X86" s="793"/>
      <c r="Y86" s="793"/>
      <c r="Z86" s="793"/>
      <c r="AA86" s="793"/>
      <c r="AB86" s="793"/>
      <c r="AC86" s="793"/>
      <c r="AD86" s="793"/>
      <c r="AE86" s="793"/>
      <c r="AF86" s="793"/>
      <c r="AG86" s="793"/>
      <c r="AH86" s="874"/>
    </row>
    <row r="87" spans="1:34" x14ac:dyDescent="0.2">
      <c r="A87" s="783"/>
      <c r="B87" s="784"/>
      <c r="C87" s="784" t="s">
        <v>338</v>
      </c>
      <c r="D87" s="369" t="s">
        <v>34</v>
      </c>
      <c r="E87" s="351">
        <v>1</v>
      </c>
      <c r="F87" s="351">
        <v>1</v>
      </c>
      <c r="G87" s="351">
        <v>1</v>
      </c>
      <c r="H87" s="351">
        <v>1</v>
      </c>
      <c r="I87" s="351">
        <v>1</v>
      </c>
      <c r="J87" s="351">
        <v>1</v>
      </c>
      <c r="K87" s="384"/>
      <c r="L87" s="384"/>
      <c r="M87" s="384"/>
      <c r="N87" s="384"/>
      <c r="O87" s="384"/>
      <c r="P87" s="384"/>
      <c r="Q87" s="384"/>
      <c r="R87" s="384"/>
      <c r="S87" s="384"/>
      <c r="T87" s="351">
        <v>1</v>
      </c>
      <c r="U87" s="351"/>
      <c r="V87" s="351">
        <v>1</v>
      </c>
      <c r="W87" s="872" t="s">
        <v>339</v>
      </c>
      <c r="X87" s="871" t="s">
        <v>570</v>
      </c>
      <c r="Y87" s="871" t="s">
        <v>340</v>
      </c>
      <c r="Z87" s="871" t="s">
        <v>341</v>
      </c>
      <c r="AA87" s="871" t="s">
        <v>342</v>
      </c>
      <c r="AB87" s="871">
        <v>3754</v>
      </c>
      <c r="AC87" s="871">
        <v>3515</v>
      </c>
      <c r="AD87" s="871" t="s">
        <v>343</v>
      </c>
      <c r="AE87" s="871" t="s">
        <v>343</v>
      </c>
      <c r="AF87" s="871" t="s">
        <v>344</v>
      </c>
      <c r="AG87" s="871">
        <v>7269</v>
      </c>
      <c r="AH87" s="872"/>
    </row>
    <row r="88" spans="1:34" x14ac:dyDescent="0.2">
      <c r="A88" s="783"/>
      <c r="B88" s="784"/>
      <c r="C88" s="784"/>
      <c r="D88" s="354" t="s">
        <v>36</v>
      </c>
      <c r="E88" s="355">
        <v>98690750</v>
      </c>
      <c r="F88" s="355">
        <v>98690750</v>
      </c>
      <c r="G88" s="355">
        <v>98690750</v>
      </c>
      <c r="H88" s="355">
        <v>98690750</v>
      </c>
      <c r="I88" s="355">
        <v>98690750</v>
      </c>
      <c r="J88" s="355">
        <v>98690750</v>
      </c>
      <c r="K88" s="384"/>
      <c r="L88" s="384"/>
      <c r="M88" s="384"/>
      <c r="N88" s="384"/>
      <c r="O88" s="384"/>
      <c r="P88" s="384"/>
      <c r="Q88" s="384"/>
      <c r="R88" s="384"/>
      <c r="S88" s="384"/>
      <c r="T88" s="366">
        <v>4996839</v>
      </c>
      <c r="U88" s="385"/>
      <c r="V88" s="366">
        <v>13030504.25</v>
      </c>
      <c r="W88" s="873"/>
      <c r="X88" s="792"/>
      <c r="Y88" s="792"/>
      <c r="Z88" s="792"/>
      <c r="AA88" s="792"/>
      <c r="AB88" s="792"/>
      <c r="AC88" s="792"/>
      <c r="AD88" s="792"/>
      <c r="AE88" s="792"/>
      <c r="AF88" s="792"/>
      <c r="AG88" s="792"/>
      <c r="AH88" s="873"/>
    </row>
    <row r="89" spans="1:34" x14ac:dyDescent="0.2">
      <c r="A89" s="783"/>
      <c r="B89" s="784"/>
      <c r="C89" s="784"/>
      <c r="D89" s="354" t="s">
        <v>37</v>
      </c>
      <c r="E89" s="385"/>
      <c r="F89" s="385"/>
      <c r="G89" s="385"/>
      <c r="H89" s="385"/>
      <c r="I89" s="385"/>
      <c r="J89" s="385"/>
      <c r="K89" s="384"/>
      <c r="L89" s="384"/>
      <c r="M89" s="384"/>
      <c r="N89" s="384"/>
      <c r="O89" s="384"/>
      <c r="P89" s="384"/>
      <c r="Q89" s="384"/>
      <c r="R89" s="384"/>
      <c r="S89" s="384"/>
      <c r="T89" s="415"/>
      <c r="U89" s="385"/>
      <c r="V89" s="415"/>
      <c r="W89" s="873"/>
      <c r="X89" s="792"/>
      <c r="Y89" s="792"/>
      <c r="Z89" s="792"/>
      <c r="AA89" s="792"/>
      <c r="AB89" s="792"/>
      <c r="AC89" s="792"/>
      <c r="AD89" s="792"/>
      <c r="AE89" s="792"/>
      <c r="AF89" s="792"/>
      <c r="AG89" s="792"/>
      <c r="AH89" s="873"/>
    </row>
    <row r="90" spans="1:34" ht="23.25" thickBot="1" x14ac:dyDescent="0.25">
      <c r="A90" s="783"/>
      <c r="B90" s="784"/>
      <c r="C90" s="784"/>
      <c r="D90" s="368" t="s">
        <v>38</v>
      </c>
      <c r="E90" s="359">
        <f t="shared" ref="E90:I90" si="32">22807635/4</f>
        <v>5701908.75</v>
      </c>
      <c r="F90" s="359">
        <f t="shared" si="32"/>
        <v>5701908.75</v>
      </c>
      <c r="G90" s="359">
        <f t="shared" si="32"/>
        <v>5701908.75</v>
      </c>
      <c r="H90" s="359">
        <f t="shared" si="32"/>
        <v>5701908.75</v>
      </c>
      <c r="I90" s="359">
        <f t="shared" si="32"/>
        <v>5701908.75</v>
      </c>
      <c r="J90" s="359">
        <v>5701908.75</v>
      </c>
      <c r="K90" s="384"/>
      <c r="L90" s="384"/>
      <c r="M90" s="384"/>
      <c r="N90" s="384"/>
      <c r="O90" s="384"/>
      <c r="P90" s="384"/>
      <c r="Q90" s="384"/>
      <c r="R90" s="384"/>
      <c r="S90" s="384"/>
      <c r="T90" s="366">
        <f>20941961/4</f>
        <v>5235490.25</v>
      </c>
      <c r="U90" s="385"/>
      <c r="V90" s="366">
        <v>5701908.75</v>
      </c>
      <c r="W90" s="874"/>
      <c r="X90" s="793"/>
      <c r="Y90" s="793"/>
      <c r="Z90" s="793"/>
      <c r="AA90" s="793"/>
      <c r="AB90" s="793"/>
      <c r="AC90" s="793"/>
      <c r="AD90" s="793"/>
      <c r="AE90" s="793"/>
      <c r="AF90" s="793"/>
      <c r="AG90" s="793"/>
      <c r="AH90" s="874"/>
    </row>
    <row r="91" spans="1:34" x14ac:dyDescent="0.2">
      <c r="A91" s="783"/>
      <c r="B91" s="784"/>
      <c r="C91" s="784" t="s">
        <v>345</v>
      </c>
      <c r="D91" s="369" t="s">
        <v>34</v>
      </c>
      <c r="E91" s="351">
        <f t="shared" ref="E91:I92" si="33">+E75+E79+E83+E87</f>
        <v>4</v>
      </c>
      <c r="F91" s="351">
        <f t="shared" si="33"/>
        <v>4</v>
      </c>
      <c r="G91" s="351">
        <f t="shared" si="33"/>
        <v>4</v>
      </c>
      <c r="H91" s="351">
        <f t="shared" si="33"/>
        <v>4</v>
      </c>
      <c r="I91" s="351">
        <f t="shared" si="33"/>
        <v>4</v>
      </c>
      <c r="J91" s="351">
        <v>4</v>
      </c>
      <c r="K91" s="384"/>
      <c r="L91" s="384"/>
      <c r="M91" s="384"/>
      <c r="N91" s="384"/>
      <c r="O91" s="384"/>
      <c r="P91" s="384"/>
      <c r="Q91" s="384"/>
      <c r="R91" s="384"/>
      <c r="S91" s="384"/>
      <c r="T91" s="351">
        <f>+T75+T79+T83+T87</f>
        <v>4</v>
      </c>
      <c r="U91" s="351">
        <f t="shared" ref="U91:V92" si="34">+U75+U79+U83+U87</f>
        <v>0</v>
      </c>
      <c r="V91" s="351">
        <f t="shared" si="34"/>
        <v>4</v>
      </c>
      <c r="W91" s="416"/>
      <c r="X91" s="416"/>
      <c r="Y91" s="416"/>
      <c r="Z91" s="416"/>
      <c r="AA91" s="416"/>
      <c r="AB91" s="416"/>
      <c r="AC91" s="416"/>
      <c r="AD91" s="416"/>
      <c r="AE91" s="416"/>
      <c r="AF91" s="417"/>
      <c r="AG91" s="417"/>
      <c r="AH91" s="396"/>
    </row>
    <row r="92" spans="1:34" x14ac:dyDescent="0.2">
      <c r="A92" s="783"/>
      <c r="B92" s="784"/>
      <c r="C92" s="784"/>
      <c r="D92" s="354" t="s">
        <v>36</v>
      </c>
      <c r="E92" s="355">
        <f t="shared" si="33"/>
        <v>394763000</v>
      </c>
      <c r="F92" s="355">
        <f t="shared" si="33"/>
        <v>394763000</v>
      </c>
      <c r="G92" s="355">
        <f t="shared" si="33"/>
        <v>394763000</v>
      </c>
      <c r="H92" s="355">
        <f t="shared" si="33"/>
        <v>394763000</v>
      </c>
      <c r="I92" s="355">
        <f t="shared" si="33"/>
        <v>394763000</v>
      </c>
      <c r="J92" s="355">
        <v>394763000</v>
      </c>
      <c r="K92" s="384"/>
      <c r="L92" s="384"/>
      <c r="M92" s="384"/>
      <c r="N92" s="384"/>
      <c r="O92" s="384"/>
      <c r="P92" s="384"/>
      <c r="Q92" s="384"/>
      <c r="R92" s="384"/>
      <c r="S92" s="384"/>
      <c r="T92" s="366">
        <f>+T76+T80+T84+T88</f>
        <v>19987356</v>
      </c>
      <c r="U92" s="366">
        <f t="shared" si="34"/>
        <v>0</v>
      </c>
      <c r="V92" s="366">
        <f t="shared" si="34"/>
        <v>52122017</v>
      </c>
      <c r="W92" s="416"/>
      <c r="X92" s="416"/>
      <c r="Y92" s="416"/>
      <c r="Z92" s="416"/>
      <c r="AA92" s="416"/>
      <c r="AB92" s="416"/>
      <c r="AC92" s="416"/>
      <c r="AD92" s="416"/>
      <c r="AE92" s="416"/>
      <c r="AF92" s="417"/>
      <c r="AG92" s="417"/>
      <c r="AH92" s="396"/>
    </row>
    <row r="93" spans="1:34" x14ac:dyDescent="0.2">
      <c r="A93" s="783"/>
      <c r="B93" s="784"/>
      <c r="C93" s="784"/>
      <c r="D93" s="354" t="s">
        <v>37</v>
      </c>
      <c r="E93" s="385"/>
      <c r="F93" s="385"/>
      <c r="G93" s="385"/>
      <c r="H93" s="385"/>
      <c r="I93" s="385"/>
      <c r="J93" s="385"/>
      <c r="K93" s="384"/>
      <c r="L93" s="384"/>
      <c r="M93" s="384"/>
      <c r="N93" s="384"/>
      <c r="O93" s="384"/>
      <c r="P93" s="384"/>
      <c r="Q93" s="384"/>
      <c r="R93" s="384"/>
      <c r="S93" s="384"/>
      <c r="T93" s="415"/>
      <c r="U93" s="385"/>
      <c r="V93" s="385"/>
      <c r="W93" s="416"/>
      <c r="X93" s="416"/>
      <c r="Y93" s="416"/>
      <c r="Z93" s="416"/>
      <c r="AA93" s="416"/>
      <c r="AB93" s="416"/>
      <c r="AC93" s="416"/>
      <c r="AD93" s="416"/>
      <c r="AE93" s="416"/>
      <c r="AF93" s="417"/>
      <c r="AG93" s="417"/>
      <c r="AH93" s="396"/>
    </row>
    <row r="94" spans="1:34" ht="23.25" thickBot="1" x14ac:dyDescent="0.25">
      <c r="A94" s="807"/>
      <c r="B94" s="833"/>
      <c r="C94" s="833"/>
      <c r="D94" s="358" t="s">
        <v>38</v>
      </c>
      <c r="E94" s="359">
        <f t="shared" ref="E94:I94" si="35">+E90+E86+E82+E78</f>
        <v>22807635</v>
      </c>
      <c r="F94" s="359">
        <f t="shared" si="35"/>
        <v>22807635</v>
      </c>
      <c r="G94" s="359">
        <f t="shared" si="35"/>
        <v>22807635</v>
      </c>
      <c r="H94" s="359">
        <f t="shared" si="35"/>
        <v>22807635</v>
      </c>
      <c r="I94" s="359">
        <f t="shared" si="35"/>
        <v>22807635</v>
      </c>
      <c r="J94" s="359">
        <v>22807635</v>
      </c>
      <c r="K94" s="410"/>
      <c r="L94" s="410"/>
      <c r="M94" s="410"/>
      <c r="N94" s="410"/>
      <c r="O94" s="410"/>
      <c r="P94" s="410"/>
      <c r="Q94" s="410"/>
      <c r="R94" s="410"/>
      <c r="S94" s="410"/>
      <c r="T94" s="366">
        <f>+T78+T82+T86+T90</f>
        <v>20941961</v>
      </c>
      <c r="U94" s="366">
        <f t="shared" ref="U94:V94" si="36">+U78+U82+U86+U90</f>
        <v>0</v>
      </c>
      <c r="V94" s="366">
        <f t="shared" si="36"/>
        <v>22807635</v>
      </c>
      <c r="W94" s="418"/>
      <c r="X94" s="418"/>
      <c r="Y94" s="418"/>
      <c r="Z94" s="418"/>
      <c r="AA94" s="418"/>
      <c r="AB94" s="418"/>
      <c r="AC94" s="418"/>
      <c r="AD94" s="418"/>
      <c r="AE94" s="418"/>
      <c r="AF94" s="419"/>
      <c r="AG94" s="419"/>
      <c r="AH94" s="420"/>
    </row>
    <row r="95" spans="1:34" ht="19.5" customHeight="1" x14ac:dyDescent="0.2">
      <c r="A95" s="857">
        <v>9</v>
      </c>
      <c r="B95" s="859" t="s">
        <v>157</v>
      </c>
      <c r="C95" s="861" t="s">
        <v>257</v>
      </c>
      <c r="D95" s="421" t="s">
        <v>34</v>
      </c>
      <c r="E95" s="351">
        <v>133.76</v>
      </c>
      <c r="F95" s="351" t="s">
        <v>571</v>
      </c>
      <c r="G95" s="351" t="s">
        <v>571</v>
      </c>
      <c r="H95" s="351" t="s">
        <v>571</v>
      </c>
      <c r="I95" s="351" t="s">
        <v>571</v>
      </c>
      <c r="J95" s="351">
        <v>133.76</v>
      </c>
      <c r="K95" s="389"/>
      <c r="L95" s="389"/>
      <c r="M95" s="389"/>
      <c r="N95" s="389"/>
      <c r="O95" s="389"/>
      <c r="P95" s="389"/>
      <c r="Q95" s="389"/>
      <c r="R95" s="389"/>
      <c r="S95" s="389"/>
      <c r="T95" s="422">
        <v>7.47</v>
      </c>
      <c r="U95" s="423"/>
      <c r="V95" s="351">
        <v>81.92</v>
      </c>
      <c r="W95" s="863" t="s">
        <v>250</v>
      </c>
      <c r="X95" s="863" t="s">
        <v>251</v>
      </c>
      <c r="Y95" s="863" t="s">
        <v>252</v>
      </c>
      <c r="Z95" s="863" t="s">
        <v>260</v>
      </c>
      <c r="AA95" s="863" t="s">
        <v>258</v>
      </c>
      <c r="AB95" s="863">
        <v>1357</v>
      </c>
      <c r="AC95" s="863">
        <v>1226</v>
      </c>
      <c r="AD95" s="863" t="s">
        <v>202</v>
      </c>
      <c r="AE95" s="863" t="s">
        <v>197</v>
      </c>
      <c r="AF95" s="863" t="s">
        <v>203</v>
      </c>
      <c r="AG95" s="863">
        <v>2583</v>
      </c>
      <c r="AH95" s="865"/>
    </row>
    <row r="96" spans="1:34" ht="19.5" customHeight="1" x14ac:dyDescent="0.2">
      <c r="A96" s="783"/>
      <c r="B96" s="784"/>
      <c r="C96" s="781"/>
      <c r="D96" s="405" t="s">
        <v>36</v>
      </c>
      <c r="E96" s="355">
        <v>1620152000</v>
      </c>
      <c r="F96" s="355">
        <v>1620152000</v>
      </c>
      <c r="G96" s="355">
        <v>1620152000</v>
      </c>
      <c r="H96" s="355">
        <v>1620152000</v>
      </c>
      <c r="I96" s="355">
        <v>1620152000</v>
      </c>
      <c r="J96" s="355">
        <v>1620152000</v>
      </c>
      <c r="K96" s="384"/>
      <c r="L96" s="384"/>
      <c r="M96" s="384"/>
      <c r="N96" s="384"/>
      <c r="O96" s="384"/>
      <c r="P96" s="384"/>
      <c r="Q96" s="384"/>
      <c r="R96" s="384"/>
      <c r="S96" s="384"/>
      <c r="T96" s="366">
        <v>11144600</v>
      </c>
      <c r="U96" s="385"/>
      <c r="V96" s="366">
        <v>42202447</v>
      </c>
      <c r="W96" s="855"/>
      <c r="X96" s="855"/>
      <c r="Y96" s="855"/>
      <c r="Z96" s="855"/>
      <c r="AA96" s="855"/>
      <c r="AB96" s="855"/>
      <c r="AC96" s="855"/>
      <c r="AD96" s="855"/>
      <c r="AE96" s="855"/>
      <c r="AF96" s="855"/>
      <c r="AG96" s="855"/>
      <c r="AH96" s="866"/>
    </row>
    <row r="97" spans="1:34" ht="19.5" customHeight="1" x14ac:dyDescent="0.2">
      <c r="A97" s="783"/>
      <c r="B97" s="784"/>
      <c r="C97" s="781"/>
      <c r="D97" s="405" t="s">
        <v>37</v>
      </c>
      <c r="E97" s="357"/>
      <c r="F97" s="357"/>
      <c r="G97" s="357"/>
      <c r="H97" s="357"/>
      <c r="I97" s="357"/>
      <c r="J97" s="357"/>
      <c r="K97" s="384"/>
      <c r="L97" s="384"/>
      <c r="M97" s="384"/>
      <c r="N97" s="384"/>
      <c r="O97" s="384"/>
      <c r="P97" s="384"/>
      <c r="Q97" s="384"/>
      <c r="R97" s="384"/>
      <c r="S97" s="384"/>
      <c r="T97" s="357"/>
      <c r="U97" s="385"/>
      <c r="V97" s="385"/>
      <c r="W97" s="855"/>
      <c r="X97" s="855"/>
      <c r="Y97" s="855"/>
      <c r="Z97" s="855"/>
      <c r="AA97" s="855"/>
      <c r="AB97" s="855"/>
      <c r="AC97" s="855"/>
      <c r="AD97" s="855"/>
      <c r="AE97" s="855"/>
      <c r="AF97" s="855"/>
      <c r="AG97" s="855"/>
      <c r="AH97" s="866"/>
    </row>
    <row r="98" spans="1:34" ht="19.5" customHeight="1" thickBot="1" x14ac:dyDescent="0.25">
      <c r="A98" s="858"/>
      <c r="B98" s="860"/>
      <c r="C98" s="856"/>
      <c r="D98" s="424" t="s">
        <v>38</v>
      </c>
      <c r="E98" s="363">
        <v>480490507</v>
      </c>
      <c r="F98" s="363">
        <v>480490507</v>
      </c>
      <c r="G98" s="363">
        <v>480490507</v>
      </c>
      <c r="H98" s="363">
        <v>480490507</v>
      </c>
      <c r="I98" s="363">
        <v>480490507</v>
      </c>
      <c r="J98" s="363">
        <v>480490507</v>
      </c>
      <c r="K98" s="398"/>
      <c r="L98" s="398"/>
      <c r="M98" s="398"/>
      <c r="N98" s="398"/>
      <c r="O98" s="398"/>
      <c r="P98" s="398"/>
      <c r="Q98" s="398"/>
      <c r="R98" s="398"/>
      <c r="S98" s="398"/>
      <c r="T98" s="425">
        <v>33797733</v>
      </c>
      <c r="U98" s="426"/>
      <c r="V98" s="425">
        <v>65188734</v>
      </c>
      <c r="W98" s="864"/>
      <c r="X98" s="864"/>
      <c r="Y98" s="864"/>
      <c r="Z98" s="864"/>
      <c r="AA98" s="864"/>
      <c r="AB98" s="864"/>
      <c r="AC98" s="864"/>
      <c r="AD98" s="864"/>
      <c r="AE98" s="864"/>
      <c r="AF98" s="864"/>
      <c r="AG98" s="864"/>
      <c r="AH98" s="867"/>
    </row>
    <row r="99" spans="1:34" x14ac:dyDescent="0.2">
      <c r="A99" s="868">
        <v>10</v>
      </c>
      <c r="B99" s="861" t="s">
        <v>158</v>
      </c>
      <c r="C99" s="861" t="s">
        <v>261</v>
      </c>
      <c r="D99" s="421" t="s">
        <v>34</v>
      </c>
      <c r="E99" s="351">
        <v>32.5</v>
      </c>
      <c r="F99" s="351">
        <v>32.5</v>
      </c>
      <c r="G99" s="351">
        <v>32.5</v>
      </c>
      <c r="H99" s="351">
        <v>32.5</v>
      </c>
      <c r="I99" s="351">
        <v>32.5</v>
      </c>
      <c r="J99" s="351">
        <v>32.5</v>
      </c>
      <c r="K99" s="389"/>
      <c r="L99" s="389"/>
      <c r="M99" s="389"/>
      <c r="N99" s="389"/>
      <c r="O99" s="389"/>
      <c r="P99" s="389"/>
      <c r="Q99" s="389"/>
      <c r="R99" s="389"/>
      <c r="S99" s="427"/>
      <c r="T99" s="351">
        <f>32.5</f>
        <v>32.5</v>
      </c>
      <c r="U99" s="428"/>
      <c r="V99" s="351">
        <f>37.36+32.5</f>
        <v>69.86</v>
      </c>
      <c r="W99" s="863" t="s">
        <v>250</v>
      </c>
      <c r="X99" s="863"/>
      <c r="Y99" s="863" t="s">
        <v>266</v>
      </c>
      <c r="Z99" s="863" t="s">
        <v>268</v>
      </c>
      <c r="AA99" s="863" t="s">
        <v>267</v>
      </c>
      <c r="AB99" s="863">
        <v>211224</v>
      </c>
      <c r="AC99" s="863">
        <v>215866</v>
      </c>
      <c r="AD99" s="863" t="s">
        <v>202</v>
      </c>
      <c r="AE99" s="863" t="s">
        <v>197</v>
      </c>
      <c r="AF99" s="863" t="s">
        <v>203</v>
      </c>
      <c r="AG99" s="863">
        <v>427090</v>
      </c>
      <c r="AH99" s="862"/>
    </row>
    <row r="100" spans="1:34" x14ac:dyDescent="0.2">
      <c r="A100" s="869"/>
      <c r="B100" s="781"/>
      <c r="C100" s="781"/>
      <c r="D100" s="405" t="s">
        <v>36</v>
      </c>
      <c r="E100" s="385"/>
      <c r="F100" s="385"/>
      <c r="G100" s="385"/>
      <c r="H100" s="385"/>
      <c r="I100" s="385"/>
      <c r="J100" s="385"/>
      <c r="K100" s="384"/>
      <c r="L100" s="384"/>
      <c r="M100" s="384"/>
      <c r="N100" s="384"/>
      <c r="O100" s="384"/>
      <c r="P100" s="384"/>
      <c r="Q100" s="384"/>
      <c r="R100" s="384"/>
      <c r="S100" s="429"/>
      <c r="T100" s="366"/>
      <c r="U100" s="430"/>
      <c r="V100" s="385"/>
      <c r="W100" s="855"/>
      <c r="X100" s="855"/>
      <c r="Y100" s="855"/>
      <c r="Z100" s="855"/>
      <c r="AA100" s="855"/>
      <c r="AB100" s="855"/>
      <c r="AC100" s="855"/>
      <c r="AD100" s="855"/>
      <c r="AE100" s="855"/>
      <c r="AF100" s="855"/>
      <c r="AG100" s="855"/>
      <c r="AH100" s="775"/>
    </row>
    <row r="101" spans="1:34" x14ac:dyDescent="0.2">
      <c r="A101" s="869"/>
      <c r="B101" s="781"/>
      <c r="C101" s="781"/>
      <c r="D101" s="405" t="s">
        <v>37</v>
      </c>
      <c r="E101" s="385"/>
      <c r="F101" s="385"/>
      <c r="G101" s="385"/>
      <c r="H101" s="385"/>
      <c r="I101" s="385"/>
      <c r="J101" s="385"/>
      <c r="K101" s="384"/>
      <c r="L101" s="384"/>
      <c r="M101" s="384"/>
      <c r="N101" s="384"/>
      <c r="O101" s="384"/>
      <c r="P101" s="384"/>
      <c r="Q101" s="384"/>
      <c r="R101" s="384"/>
      <c r="S101" s="429"/>
      <c r="T101" s="366"/>
      <c r="U101" s="430"/>
      <c r="V101" s="385"/>
      <c r="W101" s="855"/>
      <c r="X101" s="855"/>
      <c r="Y101" s="855"/>
      <c r="Z101" s="855"/>
      <c r="AA101" s="855"/>
      <c r="AB101" s="855"/>
      <c r="AC101" s="855"/>
      <c r="AD101" s="855"/>
      <c r="AE101" s="855"/>
      <c r="AF101" s="855"/>
      <c r="AG101" s="855"/>
      <c r="AH101" s="775"/>
    </row>
    <row r="102" spans="1:34" ht="23.25" thickBot="1" x14ac:dyDescent="0.25">
      <c r="A102" s="869"/>
      <c r="B102" s="781"/>
      <c r="C102" s="781"/>
      <c r="D102" s="409" t="s">
        <v>38</v>
      </c>
      <c r="E102" s="385"/>
      <c r="F102" s="385"/>
      <c r="G102" s="385"/>
      <c r="H102" s="385"/>
      <c r="I102" s="385"/>
      <c r="J102" s="385"/>
      <c r="K102" s="384"/>
      <c r="L102" s="384"/>
      <c r="M102" s="384"/>
      <c r="N102" s="384"/>
      <c r="O102" s="384"/>
      <c r="P102" s="384"/>
      <c r="Q102" s="384"/>
      <c r="R102" s="384"/>
      <c r="S102" s="429"/>
      <c r="T102" s="366"/>
      <c r="U102" s="430"/>
      <c r="V102" s="385"/>
      <c r="W102" s="855"/>
      <c r="X102" s="855"/>
      <c r="Y102" s="855"/>
      <c r="Z102" s="855"/>
      <c r="AA102" s="855"/>
      <c r="AB102" s="855"/>
      <c r="AC102" s="855"/>
      <c r="AD102" s="855"/>
      <c r="AE102" s="855"/>
      <c r="AF102" s="855"/>
      <c r="AG102" s="855"/>
      <c r="AH102" s="775"/>
    </row>
    <row r="103" spans="1:34" x14ac:dyDescent="0.2">
      <c r="A103" s="869"/>
      <c r="B103" s="781"/>
      <c r="C103" s="781" t="s">
        <v>262</v>
      </c>
      <c r="D103" s="400" t="s">
        <v>34</v>
      </c>
      <c r="E103" s="351">
        <v>72.3</v>
      </c>
      <c r="F103" s="351">
        <v>72.3</v>
      </c>
      <c r="G103" s="351">
        <v>72.3</v>
      </c>
      <c r="H103" s="351">
        <v>72.3</v>
      </c>
      <c r="I103" s="351">
        <v>72.3</v>
      </c>
      <c r="J103" s="351">
        <v>72.3</v>
      </c>
      <c r="K103" s="384"/>
      <c r="L103" s="384"/>
      <c r="M103" s="384"/>
      <c r="N103" s="384"/>
      <c r="O103" s="384"/>
      <c r="P103" s="384"/>
      <c r="Q103" s="384"/>
      <c r="R103" s="384"/>
      <c r="S103" s="384"/>
      <c r="T103" s="351">
        <v>72.3</v>
      </c>
      <c r="U103" s="385"/>
      <c r="V103" s="351">
        <v>72.3</v>
      </c>
      <c r="W103" s="855" t="s">
        <v>250</v>
      </c>
      <c r="X103" s="855"/>
      <c r="Y103" s="855" t="s">
        <v>269</v>
      </c>
      <c r="Z103" s="855" t="s">
        <v>270</v>
      </c>
      <c r="AA103" s="855" t="s">
        <v>271</v>
      </c>
      <c r="AB103" s="855">
        <v>211224</v>
      </c>
      <c r="AC103" s="855">
        <v>215866</v>
      </c>
      <c r="AD103" s="855" t="s">
        <v>202</v>
      </c>
      <c r="AE103" s="855" t="s">
        <v>197</v>
      </c>
      <c r="AF103" s="855" t="s">
        <v>203</v>
      </c>
      <c r="AG103" s="855">
        <v>427090</v>
      </c>
      <c r="AH103" s="775"/>
    </row>
    <row r="104" spans="1:34" x14ac:dyDescent="0.2">
      <c r="A104" s="869"/>
      <c r="B104" s="781"/>
      <c r="C104" s="781"/>
      <c r="D104" s="405" t="s">
        <v>36</v>
      </c>
      <c r="E104" s="431">
        <v>164317812</v>
      </c>
      <c r="F104" s="431">
        <v>164317812</v>
      </c>
      <c r="G104" s="431">
        <v>164317812</v>
      </c>
      <c r="H104" s="431">
        <v>164317812</v>
      </c>
      <c r="I104" s="431">
        <v>164317812</v>
      </c>
      <c r="J104" s="431">
        <v>164317812</v>
      </c>
      <c r="K104" s="384"/>
      <c r="L104" s="384"/>
      <c r="M104" s="384"/>
      <c r="N104" s="384"/>
      <c r="O104" s="384"/>
      <c r="P104" s="384"/>
      <c r="Q104" s="384"/>
      <c r="R104" s="384"/>
      <c r="S104" s="384"/>
      <c r="T104" s="366">
        <f>106339715/4</f>
        <v>26584928.75</v>
      </c>
      <c r="U104" s="385"/>
      <c r="V104" s="366">
        <f>114605845/4</f>
        <v>28651461.25</v>
      </c>
      <c r="W104" s="855"/>
      <c r="X104" s="855"/>
      <c r="Y104" s="855"/>
      <c r="Z104" s="855"/>
      <c r="AA104" s="855"/>
      <c r="AB104" s="855"/>
      <c r="AC104" s="855"/>
      <c r="AD104" s="855"/>
      <c r="AE104" s="855"/>
      <c r="AF104" s="855"/>
      <c r="AG104" s="855"/>
      <c r="AH104" s="775"/>
    </row>
    <row r="105" spans="1:34" x14ac:dyDescent="0.2">
      <c r="A105" s="869"/>
      <c r="B105" s="781"/>
      <c r="C105" s="781"/>
      <c r="D105" s="405" t="s">
        <v>37</v>
      </c>
      <c r="E105" s="385"/>
      <c r="F105" s="385"/>
      <c r="G105" s="385"/>
      <c r="H105" s="385"/>
      <c r="I105" s="385"/>
      <c r="J105" s="385"/>
      <c r="K105" s="384"/>
      <c r="L105" s="384"/>
      <c r="M105" s="384"/>
      <c r="N105" s="384"/>
      <c r="O105" s="384"/>
      <c r="P105" s="384"/>
      <c r="Q105" s="384"/>
      <c r="R105" s="384"/>
      <c r="S105" s="384"/>
      <c r="T105" s="366"/>
      <c r="U105" s="385"/>
      <c r="V105" s="385"/>
      <c r="W105" s="855"/>
      <c r="X105" s="855"/>
      <c r="Y105" s="855"/>
      <c r="Z105" s="855"/>
      <c r="AA105" s="855"/>
      <c r="AB105" s="855"/>
      <c r="AC105" s="855"/>
      <c r="AD105" s="855"/>
      <c r="AE105" s="855"/>
      <c r="AF105" s="855"/>
      <c r="AG105" s="855"/>
      <c r="AH105" s="775"/>
    </row>
    <row r="106" spans="1:34" ht="23.25" thickBot="1" x14ac:dyDescent="0.25">
      <c r="A106" s="869"/>
      <c r="B106" s="781"/>
      <c r="C106" s="781"/>
      <c r="D106" s="432" t="s">
        <v>38</v>
      </c>
      <c r="E106" s="359">
        <f t="shared" ref="E106:I106" si="37">80389783/4</f>
        <v>20097445.75</v>
      </c>
      <c r="F106" s="359">
        <f t="shared" si="37"/>
        <v>20097445.75</v>
      </c>
      <c r="G106" s="359">
        <f t="shared" si="37"/>
        <v>20097445.75</v>
      </c>
      <c r="H106" s="359">
        <f t="shared" si="37"/>
        <v>20097445.75</v>
      </c>
      <c r="I106" s="359">
        <f t="shared" si="37"/>
        <v>20097445.75</v>
      </c>
      <c r="J106" s="359">
        <v>20097445.75</v>
      </c>
      <c r="K106" s="384"/>
      <c r="L106" s="384"/>
      <c r="M106" s="384"/>
      <c r="N106" s="384"/>
      <c r="O106" s="384"/>
      <c r="P106" s="384"/>
      <c r="Q106" s="384"/>
      <c r="R106" s="384"/>
      <c r="S106" s="384"/>
      <c r="T106" s="366">
        <f>71552040/4</f>
        <v>17888010</v>
      </c>
      <c r="U106" s="385"/>
      <c r="V106" s="385">
        <f>132176579/4</f>
        <v>33044144.75</v>
      </c>
      <c r="W106" s="855"/>
      <c r="X106" s="855"/>
      <c r="Y106" s="855"/>
      <c r="Z106" s="855"/>
      <c r="AA106" s="855"/>
      <c r="AB106" s="855"/>
      <c r="AC106" s="855"/>
      <c r="AD106" s="855"/>
      <c r="AE106" s="855"/>
      <c r="AF106" s="855"/>
      <c r="AG106" s="855"/>
      <c r="AH106" s="775"/>
    </row>
    <row r="107" spans="1:34" x14ac:dyDescent="0.2">
      <c r="A107" s="869"/>
      <c r="B107" s="781"/>
      <c r="C107" s="781" t="s">
        <v>263</v>
      </c>
      <c r="D107" s="400" t="s">
        <v>34</v>
      </c>
      <c r="E107" s="351">
        <f t="shared" ref="E107:I107" si="38">92.1+47.1</f>
        <v>139.19999999999999</v>
      </c>
      <c r="F107" s="351">
        <f t="shared" si="38"/>
        <v>139.19999999999999</v>
      </c>
      <c r="G107" s="351">
        <f t="shared" si="38"/>
        <v>139.19999999999999</v>
      </c>
      <c r="H107" s="351">
        <f t="shared" si="38"/>
        <v>139.19999999999999</v>
      </c>
      <c r="I107" s="351">
        <f t="shared" si="38"/>
        <v>139.19999999999999</v>
      </c>
      <c r="J107" s="351">
        <v>139.19999999999999</v>
      </c>
      <c r="K107" s="384"/>
      <c r="L107" s="384"/>
      <c r="M107" s="384"/>
      <c r="N107" s="384"/>
      <c r="O107" s="384"/>
      <c r="P107" s="384"/>
      <c r="Q107" s="384"/>
      <c r="R107" s="384"/>
      <c r="S107" s="384"/>
      <c r="T107" s="351">
        <v>98.64</v>
      </c>
      <c r="U107" s="385"/>
      <c r="V107" s="351">
        <f>98.64+9.14</f>
        <v>107.78</v>
      </c>
      <c r="W107" s="855" t="s">
        <v>250</v>
      </c>
      <c r="X107" s="855" t="s">
        <v>251</v>
      </c>
      <c r="Y107" s="855" t="s">
        <v>252</v>
      </c>
      <c r="Z107" s="855" t="s">
        <v>260</v>
      </c>
      <c r="AA107" s="855" t="s">
        <v>258</v>
      </c>
      <c r="AB107" s="855">
        <v>1357</v>
      </c>
      <c r="AC107" s="855">
        <v>1226</v>
      </c>
      <c r="AD107" s="855" t="s">
        <v>202</v>
      </c>
      <c r="AE107" s="855" t="s">
        <v>197</v>
      </c>
      <c r="AF107" s="855" t="s">
        <v>203</v>
      </c>
      <c r="AG107" s="855">
        <v>2583</v>
      </c>
      <c r="AH107" s="775"/>
    </row>
    <row r="108" spans="1:34" x14ac:dyDescent="0.2">
      <c r="A108" s="869"/>
      <c r="B108" s="781"/>
      <c r="C108" s="781"/>
      <c r="D108" s="405" t="s">
        <v>36</v>
      </c>
      <c r="E108" s="431">
        <v>164317812</v>
      </c>
      <c r="F108" s="431">
        <v>164317812</v>
      </c>
      <c r="G108" s="431">
        <v>164317812</v>
      </c>
      <c r="H108" s="431">
        <v>164317812</v>
      </c>
      <c r="I108" s="431">
        <v>164317812</v>
      </c>
      <c r="J108" s="431">
        <v>164317812</v>
      </c>
      <c r="K108" s="384"/>
      <c r="L108" s="384"/>
      <c r="M108" s="384"/>
      <c r="N108" s="384"/>
      <c r="O108" s="384"/>
      <c r="P108" s="384"/>
      <c r="Q108" s="384"/>
      <c r="R108" s="384"/>
      <c r="S108" s="384"/>
      <c r="T108" s="366">
        <f>106339715/4</f>
        <v>26584928.75</v>
      </c>
      <c r="U108" s="385"/>
      <c r="V108" s="366">
        <v>28651461.25</v>
      </c>
      <c r="W108" s="855"/>
      <c r="X108" s="855"/>
      <c r="Y108" s="855"/>
      <c r="Z108" s="855"/>
      <c r="AA108" s="855"/>
      <c r="AB108" s="855"/>
      <c r="AC108" s="855"/>
      <c r="AD108" s="855"/>
      <c r="AE108" s="855"/>
      <c r="AF108" s="855"/>
      <c r="AG108" s="855"/>
      <c r="AH108" s="775"/>
    </row>
    <row r="109" spans="1:34" x14ac:dyDescent="0.2">
      <c r="A109" s="869"/>
      <c r="B109" s="781"/>
      <c r="C109" s="781"/>
      <c r="D109" s="405" t="s">
        <v>37</v>
      </c>
      <c r="E109" s="385"/>
      <c r="F109" s="385"/>
      <c r="G109" s="385"/>
      <c r="H109" s="385"/>
      <c r="I109" s="385"/>
      <c r="J109" s="385"/>
      <c r="K109" s="384"/>
      <c r="L109" s="384"/>
      <c r="M109" s="384"/>
      <c r="N109" s="384"/>
      <c r="O109" s="384"/>
      <c r="P109" s="384"/>
      <c r="Q109" s="384"/>
      <c r="R109" s="384"/>
      <c r="S109" s="384"/>
      <c r="T109" s="366"/>
      <c r="U109" s="385"/>
      <c r="V109" s="385"/>
      <c r="W109" s="855"/>
      <c r="X109" s="855"/>
      <c r="Y109" s="855"/>
      <c r="Z109" s="855"/>
      <c r="AA109" s="855"/>
      <c r="AB109" s="855"/>
      <c r="AC109" s="855"/>
      <c r="AD109" s="855"/>
      <c r="AE109" s="855"/>
      <c r="AF109" s="855"/>
      <c r="AG109" s="855"/>
      <c r="AH109" s="775"/>
    </row>
    <row r="110" spans="1:34" ht="23.25" thickBot="1" x14ac:dyDescent="0.25">
      <c r="A110" s="869"/>
      <c r="B110" s="781"/>
      <c r="C110" s="781"/>
      <c r="D110" s="409" t="s">
        <v>38</v>
      </c>
      <c r="E110" s="359">
        <f t="shared" ref="E110:I110" si="39">80389783/4+11000002+247500000/3</f>
        <v>113597447.75</v>
      </c>
      <c r="F110" s="359">
        <f t="shared" si="39"/>
        <v>113597447.75</v>
      </c>
      <c r="G110" s="359">
        <f t="shared" si="39"/>
        <v>113597447.75</v>
      </c>
      <c r="H110" s="359">
        <f t="shared" si="39"/>
        <v>113597447.75</v>
      </c>
      <c r="I110" s="359">
        <f t="shared" si="39"/>
        <v>113597447.75</v>
      </c>
      <c r="J110" s="359">
        <v>113597447.75</v>
      </c>
      <c r="K110" s="384"/>
      <c r="L110" s="384"/>
      <c r="M110" s="384"/>
      <c r="N110" s="384"/>
      <c r="O110" s="384"/>
      <c r="P110" s="384"/>
      <c r="Q110" s="384"/>
      <c r="R110" s="384"/>
      <c r="S110" s="384"/>
      <c r="T110" s="366">
        <f>71552040/4</f>
        <v>17888010</v>
      </c>
      <c r="U110" s="385"/>
      <c r="V110" s="366">
        <v>33044144.75</v>
      </c>
      <c r="W110" s="855"/>
      <c r="X110" s="855"/>
      <c r="Y110" s="855"/>
      <c r="Z110" s="855"/>
      <c r="AA110" s="855"/>
      <c r="AB110" s="855"/>
      <c r="AC110" s="855"/>
      <c r="AD110" s="855"/>
      <c r="AE110" s="855"/>
      <c r="AF110" s="855"/>
      <c r="AG110" s="855"/>
      <c r="AH110" s="775"/>
    </row>
    <row r="111" spans="1:34" x14ac:dyDescent="0.2">
      <c r="A111" s="869"/>
      <c r="B111" s="781"/>
      <c r="C111" s="779" t="s">
        <v>264</v>
      </c>
      <c r="D111" s="400" t="s">
        <v>34</v>
      </c>
      <c r="E111" s="351">
        <v>30</v>
      </c>
      <c r="F111" s="351">
        <v>30</v>
      </c>
      <c r="G111" s="351">
        <v>30</v>
      </c>
      <c r="H111" s="351">
        <v>30</v>
      </c>
      <c r="I111" s="351">
        <v>30</v>
      </c>
      <c r="J111" s="351">
        <v>30</v>
      </c>
      <c r="K111" s="384"/>
      <c r="L111" s="384"/>
      <c r="M111" s="384"/>
      <c r="N111" s="384"/>
      <c r="O111" s="384"/>
      <c r="P111" s="384"/>
      <c r="Q111" s="384"/>
      <c r="R111" s="384"/>
      <c r="S111" s="384"/>
      <c r="T111" s="351">
        <v>30</v>
      </c>
      <c r="U111" s="385"/>
      <c r="V111" s="351">
        <v>30</v>
      </c>
      <c r="W111" s="855" t="s">
        <v>272</v>
      </c>
      <c r="X111" s="855" t="s">
        <v>273</v>
      </c>
      <c r="Y111" s="855"/>
      <c r="Z111" s="855" t="s">
        <v>274</v>
      </c>
      <c r="AA111" s="855" t="s">
        <v>258</v>
      </c>
      <c r="AB111" s="855">
        <v>171735</v>
      </c>
      <c r="AC111" s="855">
        <v>178350</v>
      </c>
      <c r="AD111" s="855" t="s">
        <v>202</v>
      </c>
      <c r="AE111" s="855" t="s">
        <v>197</v>
      </c>
      <c r="AF111" s="855" t="s">
        <v>203</v>
      </c>
      <c r="AG111" s="855">
        <v>350085</v>
      </c>
      <c r="AH111" s="775"/>
    </row>
    <row r="112" spans="1:34" x14ac:dyDescent="0.2">
      <c r="A112" s="869"/>
      <c r="B112" s="781"/>
      <c r="C112" s="779"/>
      <c r="D112" s="405" t="s">
        <v>36</v>
      </c>
      <c r="E112" s="355">
        <v>164317812</v>
      </c>
      <c r="F112" s="355">
        <v>164317812</v>
      </c>
      <c r="G112" s="355">
        <v>164317812</v>
      </c>
      <c r="H112" s="355">
        <v>164317812</v>
      </c>
      <c r="I112" s="355">
        <v>164317812</v>
      </c>
      <c r="J112" s="355">
        <v>164317812</v>
      </c>
      <c r="K112" s="384"/>
      <c r="L112" s="384"/>
      <c r="M112" s="384"/>
      <c r="N112" s="384"/>
      <c r="O112" s="384"/>
      <c r="P112" s="384"/>
      <c r="Q112" s="384"/>
      <c r="R112" s="384"/>
      <c r="S112" s="384"/>
      <c r="T112" s="366">
        <f>106339715/4</f>
        <v>26584928.75</v>
      </c>
      <c r="U112" s="385"/>
      <c r="V112" s="366">
        <f>28651461.25+8232584</f>
        <v>36884045.25</v>
      </c>
      <c r="W112" s="855"/>
      <c r="X112" s="855"/>
      <c r="Y112" s="855"/>
      <c r="Z112" s="855"/>
      <c r="AA112" s="855"/>
      <c r="AB112" s="855"/>
      <c r="AC112" s="855"/>
      <c r="AD112" s="855"/>
      <c r="AE112" s="855"/>
      <c r="AF112" s="855"/>
      <c r="AG112" s="855"/>
      <c r="AH112" s="775"/>
    </row>
    <row r="113" spans="1:34" x14ac:dyDescent="0.2">
      <c r="A113" s="869"/>
      <c r="B113" s="781"/>
      <c r="C113" s="779"/>
      <c r="D113" s="405" t="s">
        <v>37</v>
      </c>
      <c r="E113" s="385"/>
      <c r="F113" s="385"/>
      <c r="G113" s="385"/>
      <c r="H113" s="385"/>
      <c r="I113" s="385"/>
      <c r="J113" s="385"/>
      <c r="K113" s="384"/>
      <c r="L113" s="384"/>
      <c r="M113" s="384"/>
      <c r="N113" s="384"/>
      <c r="O113" s="384"/>
      <c r="P113" s="384"/>
      <c r="Q113" s="384"/>
      <c r="R113" s="384"/>
      <c r="S113" s="384"/>
      <c r="T113" s="366"/>
      <c r="U113" s="385"/>
      <c r="V113" s="385"/>
      <c r="W113" s="855"/>
      <c r="X113" s="855"/>
      <c r="Y113" s="855"/>
      <c r="Z113" s="855"/>
      <c r="AA113" s="855"/>
      <c r="AB113" s="855"/>
      <c r="AC113" s="855"/>
      <c r="AD113" s="855"/>
      <c r="AE113" s="855"/>
      <c r="AF113" s="855"/>
      <c r="AG113" s="855"/>
      <c r="AH113" s="775"/>
    </row>
    <row r="114" spans="1:34" ht="23.25" thickBot="1" x14ac:dyDescent="0.25">
      <c r="A114" s="869"/>
      <c r="B114" s="781"/>
      <c r="C114" s="779"/>
      <c r="D114" s="409" t="s">
        <v>38</v>
      </c>
      <c r="E114" s="359">
        <f t="shared" ref="E114:I114" si="40">80389783/4+247500000/3</f>
        <v>102597445.75</v>
      </c>
      <c r="F114" s="359">
        <f t="shared" si="40"/>
        <v>102597445.75</v>
      </c>
      <c r="G114" s="359">
        <f t="shared" si="40"/>
        <v>102597445.75</v>
      </c>
      <c r="H114" s="359">
        <f t="shared" si="40"/>
        <v>102597445.75</v>
      </c>
      <c r="I114" s="359">
        <f t="shared" si="40"/>
        <v>102597445.75</v>
      </c>
      <c r="J114" s="359">
        <v>102597445.75</v>
      </c>
      <c r="K114" s="384"/>
      <c r="L114" s="384"/>
      <c r="M114" s="384"/>
      <c r="N114" s="384"/>
      <c r="O114" s="384"/>
      <c r="P114" s="384"/>
      <c r="Q114" s="384"/>
      <c r="R114" s="384"/>
      <c r="S114" s="384"/>
      <c r="T114" s="366">
        <f>71552040/4</f>
        <v>17888010</v>
      </c>
      <c r="U114" s="385"/>
      <c r="V114" s="366">
        <v>33044144.75</v>
      </c>
      <c r="W114" s="855"/>
      <c r="X114" s="855"/>
      <c r="Y114" s="855"/>
      <c r="Z114" s="855"/>
      <c r="AA114" s="855"/>
      <c r="AB114" s="855"/>
      <c r="AC114" s="855"/>
      <c r="AD114" s="855"/>
      <c r="AE114" s="855"/>
      <c r="AF114" s="855"/>
      <c r="AG114" s="855"/>
      <c r="AH114" s="775"/>
    </row>
    <row r="115" spans="1:34" x14ac:dyDescent="0.2">
      <c r="A115" s="869"/>
      <c r="B115" s="781"/>
      <c r="C115" s="797" t="s">
        <v>265</v>
      </c>
      <c r="D115" s="400" t="s">
        <v>34</v>
      </c>
      <c r="E115" s="351">
        <f t="shared" ref="E115:I115" si="41">46+200</f>
        <v>246</v>
      </c>
      <c r="F115" s="351">
        <f t="shared" si="41"/>
        <v>246</v>
      </c>
      <c r="G115" s="351">
        <f t="shared" si="41"/>
        <v>246</v>
      </c>
      <c r="H115" s="351">
        <f t="shared" si="41"/>
        <v>246</v>
      </c>
      <c r="I115" s="351">
        <f t="shared" si="41"/>
        <v>246</v>
      </c>
      <c r="J115" s="351">
        <v>246</v>
      </c>
      <c r="K115" s="384"/>
      <c r="L115" s="384"/>
      <c r="M115" s="384"/>
      <c r="N115" s="384"/>
      <c r="O115" s="384"/>
      <c r="P115" s="384"/>
      <c r="Q115" s="384"/>
      <c r="R115" s="384"/>
      <c r="S115" s="384"/>
      <c r="T115" s="351">
        <v>33.39</v>
      </c>
      <c r="U115" s="385"/>
      <c r="V115" s="351">
        <f>63.68+37.86+T115</f>
        <v>134.93</v>
      </c>
      <c r="W115" s="855" t="s">
        <v>276</v>
      </c>
      <c r="X115" s="855"/>
      <c r="Y115" s="855"/>
      <c r="Z115" s="855" t="s">
        <v>275</v>
      </c>
      <c r="AA115" s="855" t="s">
        <v>258</v>
      </c>
      <c r="AB115" s="855">
        <v>171735</v>
      </c>
      <c r="AC115" s="855">
        <v>178350</v>
      </c>
      <c r="AD115" s="855" t="s">
        <v>202</v>
      </c>
      <c r="AE115" s="855" t="s">
        <v>197</v>
      </c>
      <c r="AF115" s="855" t="s">
        <v>203</v>
      </c>
      <c r="AG115" s="855">
        <v>350085</v>
      </c>
      <c r="AH115" s="775"/>
    </row>
    <row r="116" spans="1:34" x14ac:dyDescent="0.2">
      <c r="A116" s="869"/>
      <c r="B116" s="781"/>
      <c r="C116" s="797"/>
      <c r="D116" s="405" t="s">
        <v>36</v>
      </c>
      <c r="E116" s="355">
        <f t="shared" ref="E116:I116" si="42">164317812+152659952+3996800</f>
        <v>320974564</v>
      </c>
      <c r="F116" s="355">
        <f t="shared" si="42"/>
        <v>320974564</v>
      </c>
      <c r="G116" s="355">
        <f t="shared" si="42"/>
        <v>320974564</v>
      </c>
      <c r="H116" s="355">
        <f t="shared" si="42"/>
        <v>320974564</v>
      </c>
      <c r="I116" s="355">
        <f t="shared" si="42"/>
        <v>320974564</v>
      </c>
      <c r="J116" s="355">
        <v>320974564</v>
      </c>
      <c r="K116" s="384"/>
      <c r="L116" s="384"/>
      <c r="M116" s="384"/>
      <c r="N116" s="384"/>
      <c r="O116" s="384"/>
      <c r="P116" s="384"/>
      <c r="Q116" s="384"/>
      <c r="R116" s="384"/>
      <c r="S116" s="384"/>
      <c r="T116" s="366">
        <f>106339715/4</f>
        <v>26584928.75</v>
      </c>
      <c r="U116" s="385"/>
      <c r="V116" s="366">
        <f>28651461.25+72063839</f>
        <v>100715300.25</v>
      </c>
      <c r="W116" s="855"/>
      <c r="X116" s="855"/>
      <c r="Y116" s="855"/>
      <c r="Z116" s="855"/>
      <c r="AA116" s="855"/>
      <c r="AB116" s="855"/>
      <c r="AC116" s="855"/>
      <c r="AD116" s="855"/>
      <c r="AE116" s="855"/>
      <c r="AF116" s="855"/>
      <c r="AG116" s="855"/>
      <c r="AH116" s="775"/>
    </row>
    <row r="117" spans="1:34" x14ac:dyDescent="0.2">
      <c r="A117" s="869"/>
      <c r="B117" s="781"/>
      <c r="C117" s="797"/>
      <c r="D117" s="405" t="s">
        <v>37</v>
      </c>
      <c r="E117" s="385"/>
      <c r="F117" s="385"/>
      <c r="G117" s="385"/>
      <c r="H117" s="385"/>
      <c r="I117" s="385"/>
      <c r="J117" s="385"/>
      <c r="K117" s="384"/>
      <c r="L117" s="384"/>
      <c r="M117" s="384"/>
      <c r="N117" s="384"/>
      <c r="O117" s="384"/>
      <c r="P117" s="384"/>
      <c r="Q117" s="384"/>
      <c r="R117" s="384"/>
      <c r="S117" s="384"/>
      <c r="T117" s="366"/>
      <c r="U117" s="385"/>
      <c r="V117" s="385"/>
      <c r="W117" s="855"/>
      <c r="X117" s="855"/>
      <c r="Y117" s="855"/>
      <c r="Z117" s="855"/>
      <c r="AA117" s="855"/>
      <c r="AB117" s="855"/>
      <c r="AC117" s="855"/>
      <c r="AD117" s="855"/>
      <c r="AE117" s="855"/>
      <c r="AF117" s="855"/>
      <c r="AG117" s="855"/>
      <c r="AH117" s="775"/>
    </row>
    <row r="118" spans="1:34" ht="23.25" thickBot="1" x14ac:dyDescent="0.25">
      <c r="A118" s="869"/>
      <c r="B118" s="781"/>
      <c r="C118" s="797"/>
      <c r="D118" s="409" t="s">
        <v>38</v>
      </c>
      <c r="E118" s="359">
        <f t="shared" ref="E118:I118" si="43">80389783/4+247500000/3+18815697</f>
        <v>121413142.75</v>
      </c>
      <c r="F118" s="359">
        <f t="shared" si="43"/>
        <v>121413142.75</v>
      </c>
      <c r="G118" s="359">
        <f t="shared" si="43"/>
        <v>121413142.75</v>
      </c>
      <c r="H118" s="359">
        <f t="shared" si="43"/>
        <v>121413142.75</v>
      </c>
      <c r="I118" s="359">
        <f t="shared" si="43"/>
        <v>121413142.75</v>
      </c>
      <c r="J118" s="359">
        <v>121413142.75</v>
      </c>
      <c r="K118" s="384"/>
      <c r="L118" s="384"/>
      <c r="M118" s="384"/>
      <c r="N118" s="384"/>
      <c r="O118" s="384"/>
      <c r="P118" s="384"/>
      <c r="Q118" s="384"/>
      <c r="R118" s="384"/>
      <c r="S118" s="384"/>
      <c r="T118" s="366">
        <f>71552040/4+12954310</f>
        <v>30842320</v>
      </c>
      <c r="U118" s="385"/>
      <c r="V118" s="366">
        <f>33044144.75+15807410</f>
        <v>48851554.75</v>
      </c>
      <c r="W118" s="855"/>
      <c r="X118" s="855"/>
      <c r="Y118" s="855"/>
      <c r="Z118" s="855"/>
      <c r="AA118" s="855"/>
      <c r="AB118" s="855"/>
      <c r="AC118" s="855"/>
      <c r="AD118" s="855"/>
      <c r="AE118" s="855"/>
      <c r="AF118" s="855"/>
      <c r="AG118" s="855"/>
      <c r="AH118" s="775"/>
    </row>
    <row r="119" spans="1:34" x14ac:dyDescent="0.2">
      <c r="A119" s="869"/>
      <c r="B119" s="781"/>
      <c r="C119" s="781" t="s">
        <v>337</v>
      </c>
      <c r="D119" s="400" t="s">
        <v>34</v>
      </c>
      <c r="E119" s="351">
        <f t="shared" ref="E119:I120" si="44">+E99+E103+E107+E111+E115</f>
        <v>520</v>
      </c>
      <c r="F119" s="351">
        <f t="shared" si="44"/>
        <v>520</v>
      </c>
      <c r="G119" s="351">
        <f t="shared" si="44"/>
        <v>520</v>
      </c>
      <c r="H119" s="351">
        <f t="shared" si="44"/>
        <v>520</v>
      </c>
      <c r="I119" s="351">
        <f t="shared" si="44"/>
        <v>520</v>
      </c>
      <c r="J119" s="351">
        <v>520</v>
      </c>
      <c r="K119" s="384"/>
      <c r="L119" s="384"/>
      <c r="M119" s="384"/>
      <c r="N119" s="384"/>
      <c r="O119" s="384"/>
      <c r="P119" s="384"/>
      <c r="Q119" s="384"/>
      <c r="R119" s="384"/>
      <c r="S119" s="384"/>
      <c r="T119" s="351">
        <f>+T99+T103+T107+T111+T115</f>
        <v>266.83</v>
      </c>
      <c r="U119" s="351">
        <f t="shared" ref="U119:V120" si="45">+U99+U103+U107+U111+U115</f>
        <v>0</v>
      </c>
      <c r="V119" s="351">
        <f t="shared" si="45"/>
        <v>414.87</v>
      </c>
      <c r="W119" s="416"/>
      <c r="X119" s="416"/>
      <c r="Y119" s="416"/>
      <c r="Z119" s="416"/>
      <c r="AA119" s="416"/>
      <c r="AB119" s="416"/>
      <c r="AC119" s="416"/>
      <c r="AD119" s="416"/>
      <c r="AE119" s="416"/>
      <c r="AF119" s="417"/>
      <c r="AG119" s="417"/>
      <c r="AH119" s="396"/>
    </row>
    <row r="120" spans="1:34" x14ac:dyDescent="0.2">
      <c r="A120" s="869"/>
      <c r="B120" s="781"/>
      <c r="C120" s="781"/>
      <c r="D120" s="405" t="s">
        <v>36</v>
      </c>
      <c r="E120" s="355">
        <f t="shared" si="44"/>
        <v>813928000</v>
      </c>
      <c r="F120" s="355">
        <f t="shared" si="44"/>
        <v>813928000</v>
      </c>
      <c r="G120" s="355">
        <f t="shared" si="44"/>
        <v>813928000</v>
      </c>
      <c r="H120" s="355">
        <f t="shared" si="44"/>
        <v>813928000</v>
      </c>
      <c r="I120" s="355">
        <f t="shared" si="44"/>
        <v>813928000</v>
      </c>
      <c r="J120" s="355">
        <v>813928000</v>
      </c>
      <c r="K120" s="384"/>
      <c r="L120" s="384"/>
      <c r="M120" s="384"/>
      <c r="N120" s="384"/>
      <c r="O120" s="384"/>
      <c r="P120" s="384"/>
      <c r="Q120" s="384"/>
      <c r="R120" s="384"/>
      <c r="S120" s="384"/>
      <c r="T120" s="366">
        <f>+T100+T104+T108+T112+T116</f>
        <v>106339715</v>
      </c>
      <c r="U120" s="366">
        <f t="shared" si="45"/>
        <v>0</v>
      </c>
      <c r="V120" s="366">
        <f t="shared" si="45"/>
        <v>194902268</v>
      </c>
      <c r="W120" s="416"/>
      <c r="X120" s="416"/>
      <c r="Y120" s="416"/>
      <c r="Z120" s="416"/>
      <c r="AA120" s="416"/>
      <c r="AB120" s="416"/>
      <c r="AC120" s="416"/>
      <c r="AD120" s="416"/>
      <c r="AE120" s="416"/>
      <c r="AF120" s="417"/>
      <c r="AG120" s="417"/>
      <c r="AH120" s="396"/>
    </row>
    <row r="121" spans="1:34" x14ac:dyDescent="0.2">
      <c r="A121" s="869"/>
      <c r="B121" s="781"/>
      <c r="C121" s="781"/>
      <c r="D121" s="405" t="s">
        <v>37</v>
      </c>
      <c r="E121" s="385"/>
      <c r="F121" s="385"/>
      <c r="G121" s="385"/>
      <c r="H121" s="385"/>
      <c r="I121" s="385"/>
      <c r="J121" s="385"/>
      <c r="K121" s="384"/>
      <c r="L121" s="384"/>
      <c r="M121" s="384"/>
      <c r="N121" s="384"/>
      <c r="O121" s="384"/>
      <c r="P121" s="384"/>
      <c r="Q121" s="384"/>
      <c r="R121" s="384"/>
      <c r="S121" s="384"/>
      <c r="T121" s="366"/>
      <c r="U121" s="385"/>
      <c r="V121" s="385"/>
      <c r="W121" s="416"/>
      <c r="X121" s="416"/>
      <c r="Y121" s="416"/>
      <c r="Z121" s="416"/>
      <c r="AA121" s="416"/>
      <c r="AB121" s="416"/>
      <c r="AC121" s="416"/>
      <c r="AD121" s="416"/>
      <c r="AE121" s="416"/>
      <c r="AF121" s="417"/>
      <c r="AG121" s="417"/>
      <c r="AH121" s="396"/>
    </row>
    <row r="122" spans="1:34" ht="23.25" thickBot="1" x14ac:dyDescent="0.25">
      <c r="A122" s="870"/>
      <c r="B122" s="856"/>
      <c r="C122" s="856"/>
      <c r="D122" s="424" t="s">
        <v>38</v>
      </c>
      <c r="E122" s="363">
        <f t="shared" ref="E122:I122" si="46">+E102+E106+E110+E114+E118</f>
        <v>357705482</v>
      </c>
      <c r="F122" s="363">
        <f t="shared" si="46"/>
        <v>357705482</v>
      </c>
      <c r="G122" s="363">
        <f t="shared" si="46"/>
        <v>357705482</v>
      </c>
      <c r="H122" s="363">
        <f t="shared" si="46"/>
        <v>357705482</v>
      </c>
      <c r="I122" s="363">
        <f t="shared" si="46"/>
        <v>357705482</v>
      </c>
      <c r="J122" s="363">
        <v>357705482</v>
      </c>
      <c r="K122" s="398"/>
      <c r="L122" s="398"/>
      <c r="M122" s="398"/>
      <c r="N122" s="398"/>
      <c r="O122" s="398"/>
      <c r="P122" s="398"/>
      <c r="Q122" s="398"/>
      <c r="R122" s="398"/>
      <c r="S122" s="398"/>
      <c r="T122" s="361">
        <f>+T102+T106+T110+T114+T118</f>
        <v>84506350</v>
      </c>
      <c r="U122" s="361">
        <f t="shared" ref="U122:V122" si="47">+U102+U106+U110+U114+U118</f>
        <v>0</v>
      </c>
      <c r="V122" s="361">
        <f t="shared" si="47"/>
        <v>147983989</v>
      </c>
      <c r="W122" s="433"/>
      <c r="X122" s="433"/>
      <c r="Y122" s="433"/>
      <c r="Z122" s="433"/>
      <c r="AA122" s="433"/>
      <c r="AB122" s="433"/>
      <c r="AC122" s="433"/>
      <c r="AD122" s="433"/>
      <c r="AE122" s="433"/>
      <c r="AF122" s="434"/>
      <c r="AG122" s="434"/>
      <c r="AH122" s="399"/>
    </row>
    <row r="123" spans="1:34" x14ac:dyDescent="0.2">
      <c r="A123" s="857">
        <v>11</v>
      </c>
      <c r="B123" s="859" t="s">
        <v>159</v>
      </c>
      <c r="C123" s="861" t="s">
        <v>254</v>
      </c>
      <c r="D123" s="400" t="s">
        <v>34</v>
      </c>
      <c r="E123" s="435">
        <v>1</v>
      </c>
      <c r="F123" s="435">
        <v>1</v>
      </c>
      <c r="G123" s="435">
        <v>1</v>
      </c>
      <c r="H123" s="435">
        <v>1</v>
      </c>
      <c r="I123" s="435">
        <v>1</v>
      </c>
      <c r="J123" s="435">
        <v>1</v>
      </c>
      <c r="K123" s="402"/>
      <c r="L123" s="402"/>
      <c r="M123" s="402"/>
      <c r="N123" s="402"/>
      <c r="O123" s="402"/>
      <c r="P123" s="402"/>
      <c r="Q123" s="402"/>
      <c r="R123" s="402"/>
      <c r="S123" s="402"/>
      <c r="T123" s="435">
        <v>1</v>
      </c>
      <c r="U123" s="403"/>
      <c r="V123" s="435">
        <f>+T123</f>
        <v>1</v>
      </c>
      <c r="W123" s="855" t="s">
        <v>279</v>
      </c>
      <c r="X123" s="855" t="s">
        <v>255</v>
      </c>
      <c r="Y123" s="855" t="s">
        <v>254</v>
      </c>
      <c r="Z123" s="855" t="s">
        <v>256</v>
      </c>
      <c r="AA123" s="855" t="s">
        <v>259</v>
      </c>
      <c r="AB123" s="855">
        <v>37165</v>
      </c>
      <c r="AC123" s="855">
        <v>38660</v>
      </c>
      <c r="AD123" s="855" t="s">
        <v>202</v>
      </c>
      <c r="AE123" s="855" t="s">
        <v>197</v>
      </c>
      <c r="AF123" s="855" t="s">
        <v>203</v>
      </c>
      <c r="AG123" s="855">
        <v>75825</v>
      </c>
      <c r="AH123" s="775"/>
    </row>
    <row r="124" spans="1:34" x14ac:dyDescent="0.2">
      <c r="A124" s="783"/>
      <c r="B124" s="784"/>
      <c r="C124" s="781"/>
      <c r="D124" s="405" t="s">
        <v>36</v>
      </c>
      <c r="E124" s="355">
        <f>392526200/5+36461586+46113100+(800000000*0.1)+(1131864183*0.16)+(182835000/3)</f>
        <v>483123195.27999997</v>
      </c>
      <c r="F124" s="355">
        <f t="shared" ref="F124:I124" si="48">392526200/5+36461586+46113100+(800000000*0.1)+(1131864183*0.16)+(182835000/3)</f>
        <v>483123195.27999997</v>
      </c>
      <c r="G124" s="355">
        <f t="shared" si="48"/>
        <v>483123195.27999997</v>
      </c>
      <c r="H124" s="355">
        <f t="shared" si="48"/>
        <v>483123195.27999997</v>
      </c>
      <c r="I124" s="355">
        <f t="shared" si="48"/>
        <v>483123195.27999997</v>
      </c>
      <c r="J124" s="355">
        <v>473634609.27999997</v>
      </c>
      <c r="K124" s="384"/>
      <c r="L124" s="384"/>
      <c r="M124" s="384"/>
      <c r="N124" s="384"/>
      <c r="O124" s="384"/>
      <c r="P124" s="384"/>
      <c r="Q124" s="384"/>
      <c r="R124" s="384"/>
      <c r="S124" s="384"/>
      <c r="T124" s="356">
        <f>77865768/5+22000000/3+371993140*0.16</f>
        <v>82425389.333333328</v>
      </c>
      <c r="U124" s="385"/>
      <c r="V124" s="356">
        <f>111410415/5+23621950+115302676/3+1130566657*0.15</f>
        <v>253923256.88333333</v>
      </c>
      <c r="W124" s="855"/>
      <c r="X124" s="855"/>
      <c r="Y124" s="855"/>
      <c r="Z124" s="855"/>
      <c r="AA124" s="855"/>
      <c r="AB124" s="855"/>
      <c r="AC124" s="855"/>
      <c r="AD124" s="855"/>
      <c r="AE124" s="855"/>
      <c r="AF124" s="855"/>
      <c r="AG124" s="855"/>
      <c r="AH124" s="775"/>
    </row>
    <row r="125" spans="1:34" x14ac:dyDescent="0.2">
      <c r="A125" s="783"/>
      <c r="B125" s="784"/>
      <c r="C125" s="781"/>
      <c r="D125" s="405" t="s">
        <v>37</v>
      </c>
      <c r="E125" s="385"/>
      <c r="F125" s="385"/>
      <c r="G125" s="385"/>
      <c r="H125" s="385"/>
      <c r="I125" s="385"/>
      <c r="J125" s="385"/>
      <c r="K125" s="384"/>
      <c r="L125" s="384"/>
      <c r="M125" s="384"/>
      <c r="N125" s="384"/>
      <c r="O125" s="384"/>
      <c r="P125" s="384"/>
      <c r="Q125" s="384"/>
      <c r="R125" s="384"/>
      <c r="S125" s="384"/>
      <c r="T125" s="356"/>
      <c r="U125" s="385"/>
      <c r="V125" s="385"/>
      <c r="W125" s="855"/>
      <c r="X125" s="855"/>
      <c r="Y125" s="855"/>
      <c r="Z125" s="855"/>
      <c r="AA125" s="855"/>
      <c r="AB125" s="855"/>
      <c r="AC125" s="855"/>
      <c r="AD125" s="855"/>
      <c r="AE125" s="855"/>
      <c r="AF125" s="855"/>
      <c r="AG125" s="855"/>
      <c r="AH125" s="775"/>
    </row>
    <row r="126" spans="1:34" ht="23.25" thickBot="1" x14ac:dyDescent="0.25">
      <c r="A126" s="783"/>
      <c r="B126" s="784"/>
      <c r="C126" s="781"/>
      <c r="D126" s="409" t="s">
        <v>38</v>
      </c>
      <c r="E126" s="359">
        <f t="shared" ref="E126:I126" si="49">58850423.3333333/5+7405014+(605859706*0.15)</f>
        <v>110054054.56666665</v>
      </c>
      <c r="F126" s="359">
        <f t="shared" si="49"/>
        <v>110054054.56666665</v>
      </c>
      <c r="G126" s="359">
        <f t="shared" si="49"/>
        <v>110054054.56666665</v>
      </c>
      <c r="H126" s="359">
        <f t="shared" si="49"/>
        <v>110054054.56666665</v>
      </c>
      <c r="I126" s="359">
        <f t="shared" si="49"/>
        <v>110054054.56666665</v>
      </c>
      <c r="J126" s="359">
        <v>110054054.56666701</v>
      </c>
      <c r="K126" s="384"/>
      <c r="L126" s="384"/>
      <c r="M126" s="384"/>
      <c r="N126" s="384"/>
      <c r="O126" s="384"/>
      <c r="P126" s="384"/>
      <c r="Q126" s="384"/>
      <c r="R126" s="384"/>
      <c r="S126" s="384"/>
      <c r="T126" s="356">
        <f>35141196/5+3471100+431707282*0.16</f>
        <v>79572504.320000008</v>
      </c>
      <c r="U126" s="385"/>
      <c r="V126" s="356">
        <f>7414626.4+4552514.25+(600627201*0.15)+7405014</f>
        <v>109466234.8</v>
      </c>
      <c r="W126" s="855"/>
      <c r="X126" s="855"/>
      <c r="Y126" s="855"/>
      <c r="Z126" s="855"/>
      <c r="AA126" s="855"/>
      <c r="AB126" s="855"/>
      <c r="AC126" s="855"/>
      <c r="AD126" s="855"/>
      <c r="AE126" s="855"/>
      <c r="AF126" s="855"/>
      <c r="AG126" s="855"/>
      <c r="AH126" s="775"/>
    </row>
    <row r="127" spans="1:34" x14ac:dyDescent="0.2">
      <c r="A127" s="783"/>
      <c r="B127" s="784"/>
      <c r="C127" s="781" t="s">
        <v>263</v>
      </c>
      <c r="D127" s="400" t="s">
        <v>34</v>
      </c>
      <c r="E127" s="351">
        <v>1</v>
      </c>
      <c r="F127" s="351">
        <v>1</v>
      </c>
      <c r="G127" s="351">
        <v>1</v>
      </c>
      <c r="H127" s="351">
        <v>1</v>
      </c>
      <c r="I127" s="351">
        <v>1</v>
      </c>
      <c r="J127" s="351">
        <v>1</v>
      </c>
      <c r="K127" s="384"/>
      <c r="L127" s="384"/>
      <c r="M127" s="384"/>
      <c r="N127" s="384"/>
      <c r="O127" s="384"/>
      <c r="P127" s="384"/>
      <c r="Q127" s="384"/>
      <c r="R127" s="384"/>
      <c r="S127" s="384"/>
      <c r="T127" s="351">
        <v>1</v>
      </c>
      <c r="U127" s="385"/>
      <c r="V127" s="351">
        <f>+T127</f>
        <v>1</v>
      </c>
      <c r="W127" s="855" t="s">
        <v>280</v>
      </c>
      <c r="X127" s="855" t="s">
        <v>251</v>
      </c>
      <c r="Y127" s="855" t="s">
        <v>252</v>
      </c>
      <c r="Z127" s="855" t="s">
        <v>260</v>
      </c>
      <c r="AA127" s="855" t="s">
        <v>258</v>
      </c>
      <c r="AB127" s="855">
        <v>1357</v>
      </c>
      <c r="AC127" s="855">
        <v>1226</v>
      </c>
      <c r="AD127" s="855" t="s">
        <v>202</v>
      </c>
      <c r="AE127" s="855" t="s">
        <v>197</v>
      </c>
      <c r="AF127" s="855" t="s">
        <v>203</v>
      </c>
      <c r="AG127" s="855">
        <v>2583</v>
      </c>
      <c r="AH127" s="775"/>
    </row>
    <row r="128" spans="1:34" x14ac:dyDescent="0.2">
      <c r="A128" s="783"/>
      <c r="B128" s="784"/>
      <c r="C128" s="781"/>
      <c r="D128" s="405" t="s">
        <v>36</v>
      </c>
      <c r="E128" s="355">
        <f>78505240+116295067+46113100+(800000000*0.6)+(1131864183*0.71)+(182835000/3)</f>
        <v>1585481976.9299998</v>
      </c>
      <c r="F128" s="355">
        <f t="shared" ref="F128:I128" si="50">78505240+116295067+46113100+(800000000*0.6)+(1131864183*0.71)+(182835000/3)</f>
        <v>1585481976.9299998</v>
      </c>
      <c r="G128" s="355">
        <f t="shared" si="50"/>
        <v>1585481976.9299998</v>
      </c>
      <c r="H128" s="355">
        <f t="shared" si="50"/>
        <v>1585481976.9299998</v>
      </c>
      <c r="I128" s="355">
        <f t="shared" si="50"/>
        <v>1585481976.9299998</v>
      </c>
      <c r="J128" s="355">
        <v>1575993390.9300001</v>
      </c>
      <c r="K128" s="384"/>
      <c r="L128" s="384"/>
      <c r="M128" s="384"/>
      <c r="N128" s="384"/>
      <c r="O128" s="384"/>
      <c r="P128" s="384"/>
      <c r="Q128" s="384"/>
      <c r="R128" s="384"/>
      <c r="S128" s="384"/>
      <c r="T128" s="356">
        <f>77865768/5+14300932+22000000/3+371993140*0.71</f>
        <v>301322548.33333331</v>
      </c>
      <c r="U128" s="385"/>
      <c r="V128" s="356">
        <f>111410415/5+40059584+115302676/3+1130566657*0.7</f>
        <v>892172552.23333335</v>
      </c>
      <c r="W128" s="855"/>
      <c r="X128" s="855"/>
      <c r="Y128" s="855"/>
      <c r="Z128" s="855"/>
      <c r="AA128" s="855"/>
      <c r="AB128" s="855"/>
      <c r="AC128" s="855"/>
      <c r="AD128" s="855"/>
      <c r="AE128" s="855"/>
      <c r="AF128" s="855"/>
      <c r="AG128" s="855"/>
      <c r="AH128" s="775"/>
    </row>
    <row r="129" spans="1:34" x14ac:dyDescent="0.2">
      <c r="A129" s="783"/>
      <c r="B129" s="784"/>
      <c r="C129" s="781"/>
      <c r="D129" s="405" t="s">
        <v>37</v>
      </c>
      <c r="E129" s="385" t="s">
        <v>385</v>
      </c>
      <c r="F129" s="385" t="s">
        <v>385</v>
      </c>
      <c r="G129" s="385" t="s">
        <v>385</v>
      </c>
      <c r="H129" s="385" t="s">
        <v>385</v>
      </c>
      <c r="I129" s="385" t="s">
        <v>385</v>
      </c>
      <c r="J129" s="385" t="s">
        <v>385</v>
      </c>
      <c r="K129" s="384"/>
      <c r="L129" s="384"/>
      <c r="M129" s="384"/>
      <c r="N129" s="384"/>
      <c r="O129" s="384"/>
      <c r="P129" s="384"/>
      <c r="Q129" s="384"/>
      <c r="R129" s="384"/>
      <c r="S129" s="384"/>
      <c r="T129" s="356"/>
      <c r="U129" s="385"/>
      <c r="V129" s="385"/>
      <c r="W129" s="855"/>
      <c r="X129" s="855"/>
      <c r="Y129" s="855"/>
      <c r="Z129" s="855"/>
      <c r="AA129" s="855"/>
      <c r="AB129" s="855"/>
      <c r="AC129" s="855"/>
      <c r="AD129" s="855"/>
      <c r="AE129" s="855"/>
      <c r="AF129" s="855"/>
      <c r="AG129" s="855"/>
      <c r="AH129" s="775"/>
    </row>
    <row r="130" spans="1:34" ht="23.25" thickBot="1" x14ac:dyDescent="0.25">
      <c r="A130" s="783"/>
      <c r="B130" s="784"/>
      <c r="C130" s="781"/>
      <c r="D130" s="409" t="s">
        <v>38</v>
      </c>
      <c r="E130" s="359">
        <f t="shared" ref="E130:I130" si="51">58850423.3333333/5+(600627201*0.7)+12636385+3662753.5</f>
        <v>448508263.86666667</v>
      </c>
      <c r="F130" s="359">
        <f t="shared" si="51"/>
        <v>448508263.86666667</v>
      </c>
      <c r="G130" s="359">
        <f t="shared" si="51"/>
        <v>448508263.86666667</v>
      </c>
      <c r="H130" s="359">
        <f t="shared" si="51"/>
        <v>448508263.86666667</v>
      </c>
      <c r="I130" s="359">
        <f t="shared" si="51"/>
        <v>448508263.86666667</v>
      </c>
      <c r="J130" s="359">
        <v>448508263.86666697</v>
      </c>
      <c r="K130" s="384"/>
      <c r="L130" s="384"/>
      <c r="M130" s="384"/>
      <c r="N130" s="384"/>
      <c r="O130" s="384"/>
      <c r="P130" s="384"/>
      <c r="Q130" s="384"/>
      <c r="R130" s="384"/>
      <c r="S130" s="384"/>
      <c r="T130" s="356">
        <f>35141196/5+10270473+431707282*0.71+2</f>
        <v>323810884.41999996</v>
      </c>
      <c r="U130" s="385"/>
      <c r="V130" s="356">
        <f>7414626.4+4552514.25+(600627201*0.7)+8991900</f>
        <v>441398081.34999996</v>
      </c>
      <c r="W130" s="855"/>
      <c r="X130" s="855"/>
      <c r="Y130" s="855"/>
      <c r="Z130" s="855"/>
      <c r="AA130" s="855"/>
      <c r="AB130" s="855"/>
      <c r="AC130" s="855"/>
      <c r="AD130" s="855"/>
      <c r="AE130" s="855"/>
      <c r="AF130" s="855"/>
      <c r="AG130" s="855"/>
      <c r="AH130" s="775"/>
    </row>
    <row r="131" spans="1:34" x14ac:dyDescent="0.2">
      <c r="A131" s="783"/>
      <c r="B131" s="784"/>
      <c r="C131" s="781" t="s">
        <v>277</v>
      </c>
      <c r="D131" s="400" t="s">
        <v>34</v>
      </c>
      <c r="E131" s="351">
        <v>1</v>
      </c>
      <c r="F131" s="351">
        <v>1</v>
      </c>
      <c r="G131" s="351">
        <v>1</v>
      </c>
      <c r="H131" s="351">
        <v>1</v>
      </c>
      <c r="I131" s="351">
        <v>1</v>
      </c>
      <c r="J131" s="351">
        <v>1</v>
      </c>
      <c r="K131" s="384"/>
      <c r="L131" s="384"/>
      <c r="M131" s="384"/>
      <c r="N131" s="384"/>
      <c r="O131" s="384"/>
      <c r="P131" s="384"/>
      <c r="Q131" s="384"/>
      <c r="R131" s="384"/>
      <c r="S131" s="384"/>
      <c r="T131" s="351">
        <v>1</v>
      </c>
      <c r="U131" s="385"/>
      <c r="V131" s="351">
        <f>+T131</f>
        <v>1</v>
      </c>
      <c r="W131" s="855" t="s">
        <v>221</v>
      </c>
      <c r="X131" s="855" t="s">
        <v>221</v>
      </c>
      <c r="Y131" s="855" t="s">
        <v>283</v>
      </c>
      <c r="Z131" s="855" t="s">
        <v>281</v>
      </c>
      <c r="AA131" s="855" t="s">
        <v>282</v>
      </c>
      <c r="AB131" s="855">
        <v>77707</v>
      </c>
      <c r="AC131" s="855">
        <v>85382</v>
      </c>
      <c r="AD131" s="855" t="s">
        <v>202</v>
      </c>
      <c r="AE131" s="855" t="s">
        <v>197</v>
      </c>
      <c r="AF131" s="855" t="s">
        <v>203</v>
      </c>
      <c r="AG131" s="855">
        <v>163089</v>
      </c>
      <c r="AH131" s="775"/>
    </row>
    <row r="132" spans="1:34" x14ac:dyDescent="0.2">
      <c r="A132" s="783"/>
      <c r="B132" s="784"/>
      <c r="C132" s="781"/>
      <c r="D132" s="405" t="s">
        <v>36</v>
      </c>
      <c r="E132" s="355">
        <f>78505240+38182100+46113100+(800000000*0.3)+(1131864183*0.13)+(182835000/3)</f>
        <v>610887783.78999996</v>
      </c>
      <c r="F132" s="355">
        <f t="shared" ref="F132:I132" si="52">78505240+38182100+46113100+(800000000*0.3)+(1131864183*0.13)+(182835000/3)</f>
        <v>610887783.78999996</v>
      </c>
      <c r="G132" s="355">
        <f t="shared" si="52"/>
        <v>610887783.78999996</v>
      </c>
      <c r="H132" s="355">
        <f t="shared" si="52"/>
        <v>610887783.78999996</v>
      </c>
      <c r="I132" s="355">
        <f t="shared" si="52"/>
        <v>610887783.78999996</v>
      </c>
      <c r="J132" s="355">
        <v>601399197.78999996</v>
      </c>
      <c r="K132" s="384"/>
      <c r="L132" s="384"/>
      <c r="M132" s="384"/>
      <c r="N132" s="384"/>
      <c r="O132" s="384"/>
      <c r="P132" s="384"/>
      <c r="Q132" s="384"/>
      <c r="R132" s="384"/>
      <c r="S132" s="384"/>
      <c r="T132" s="356">
        <f>77865768/5+7150466+22000000/3+371993140*0.13</f>
        <v>78416061.13333334</v>
      </c>
      <c r="U132" s="385"/>
      <c r="V132" s="356">
        <f>111410415/5+10725699+115302676/3+1130566657*0.12</f>
        <v>207110006.17333335</v>
      </c>
      <c r="W132" s="855"/>
      <c r="X132" s="855"/>
      <c r="Y132" s="855"/>
      <c r="Z132" s="855"/>
      <c r="AA132" s="855"/>
      <c r="AB132" s="855"/>
      <c r="AC132" s="855"/>
      <c r="AD132" s="855"/>
      <c r="AE132" s="855"/>
      <c r="AF132" s="855"/>
      <c r="AG132" s="855"/>
      <c r="AH132" s="775"/>
    </row>
    <row r="133" spans="1:34" x14ac:dyDescent="0.2">
      <c r="A133" s="783"/>
      <c r="B133" s="784"/>
      <c r="C133" s="781"/>
      <c r="D133" s="405" t="s">
        <v>37</v>
      </c>
      <c r="E133" s="385"/>
      <c r="F133" s="385"/>
      <c r="G133" s="385"/>
      <c r="H133" s="385"/>
      <c r="I133" s="385"/>
      <c r="J133" s="385"/>
      <c r="K133" s="384"/>
      <c r="L133" s="384"/>
      <c r="M133" s="384"/>
      <c r="N133" s="384"/>
      <c r="O133" s="384"/>
      <c r="P133" s="384"/>
      <c r="Q133" s="384"/>
      <c r="R133" s="384"/>
      <c r="S133" s="384"/>
      <c r="T133" s="356"/>
      <c r="U133" s="385"/>
      <c r="V133" s="385"/>
      <c r="W133" s="855"/>
      <c r="X133" s="855"/>
      <c r="Y133" s="855"/>
      <c r="Z133" s="855"/>
      <c r="AA133" s="855"/>
      <c r="AB133" s="855"/>
      <c r="AC133" s="855"/>
      <c r="AD133" s="855"/>
      <c r="AE133" s="855"/>
      <c r="AF133" s="855"/>
      <c r="AG133" s="855"/>
      <c r="AH133" s="775"/>
    </row>
    <row r="134" spans="1:34" ht="23.25" thickBot="1" x14ac:dyDescent="0.25">
      <c r="A134" s="783"/>
      <c r="B134" s="784"/>
      <c r="C134" s="781"/>
      <c r="D134" s="409" t="s">
        <v>38</v>
      </c>
      <c r="E134" s="359">
        <f t="shared" ref="E134:I134" si="53">58850423.3333333/5+3933914+(605859706*0.1)</f>
        <v>76289969.266666666</v>
      </c>
      <c r="F134" s="359">
        <f t="shared" si="53"/>
        <v>76289969.266666666</v>
      </c>
      <c r="G134" s="359">
        <f t="shared" si="53"/>
        <v>76289969.266666666</v>
      </c>
      <c r="H134" s="359">
        <f t="shared" si="53"/>
        <v>76289969.266666666</v>
      </c>
      <c r="I134" s="359">
        <f t="shared" si="53"/>
        <v>76289969.266666666</v>
      </c>
      <c r="J134" s="359">
        <v>76289969.266666666</v>
      </c>
      <c r="K134" s="384"/>
      <c r="L134" s="384"/>
      <c r="M134" s="384"/>
      <c r="N134" s="384"/>
      <c r="O134" s="384"/>
      <c r="P134" s="384"/>
      <c r="Q134" s="384"/>
      <c r="R134" s="384"/>
      <c r="S134" s="384"/>
      <c r="T134" s="356">
        <f>35141196/5+3471100+431707282*0.13</f>
        <v>66621285.859999999</v>
      </c>
      <c r="U134" s="385"/>
      <c r="V134" s="356">
        <f>7414626.4+4552514.25+(600627201*0.12)+3933914</f>
        <v>87976318.770000011</v>
      </c>
      <c r="W134" s="855"/>
      <c r="X134" s="855"/>
      <c r="Y134" s="855"/>
      <c r="Z134" s="855"/>
      <c r="AA134" s="855"/>
      <c r="AB134" s="855"/>
      <c r="AC134" s="855"/>
      <c r="AD134" s="855"/>
      <c r="AE134" s="855"/>
      <c r="AF134" s="855"/>
      <c r="AG134" s="855"/>
      <c r="AH134" s="775"/>
    </row>
    <row r="135" spans="1:34" x14ac:dyDescent="0.2">
      <c r="A135" s="783"/>
      <c r="B135" s="784"/>
      <c r="C135" s="781" t="s">
        <v>278</v>
      </c>
      <c r="D135" s="400" t="s">
        <v>34</v>
      </c>
      <c r="E135" s="351">
        <v>1</v>
      </c>
      <c r="F135" s="351">
        <v>1</v>
      </c>
      <c r="G135" s="351">
        <v>1</v>
      </c>
      <c r="H135" s="351">
        <v>1</v>
      </c>
      <c r="I135" s="351">
        <v>1</v>
      </c>
      <c r="J135" s="351">
        <v>1</v>
      </c>
      <c r="K135" s="384"/>
      <c r="L135" s="384"/>
      <c r="M135" s="384"/>
      <c r="N135" s="384"/>
      <c r="O135" s="384"/>
      <c r="P135" s="384"/>
      <c r="Q135" s="384"/>
      <c r="R135" s="384"/>
      <c r="S135" s="384"/>
      <c r="T135" s="351">
        <v>1</v>
      </c>
      <c r="U135" s="385"/>
      <c r="V135" s="351">
        <f>+T135</f>
        <v>1</v>
      </c>
      <c r="W135" s="855" t="s">
        <v>272</v>
      </c>
      <c r="X135" s="855" t="s">
        <v>273</v>
      </c>
      <c r="Y135" s="855"/>
      <c r="Z135" s="855" t="s">
        <v>274</v>
      </c>
      <c r="AA135" s="855" t="s">
        <v>258</v>
      </c>
      <c r="AB135" s="855">
        <v>171735</v>
      </c>
      <c r="AC135" s="855">
        <v>178350</v>
      </c>
      <c r="AD135" s="855" t="s">
        <v>202</v>
      </c>
      <c r="AE135" s="855" t="s">
        <v>197</v>
      </c>
      <c r="AF135" s="855" t="s">
        <v>203</v>
      </c>
      <c r="AG135" s="855">
        <v>350085</v>
      </c>
      <c r="AH135" s="775"/>
    </row>
    <row r="136" spans="1:34" x14ac:dyDescent="0.2">
      <c r="A136" s="783"/>
      <c r="B136" s="784"/>
      <c r="C136" s="781"/>
      <c r="D136" s="405" t="s">
        <v>36</v>
      </c>
      <c r="E136" s="355">
        <f>78505240</f>
        <v>78505240</v>
      </c>
      <c r="F136" s="355">
        <v>78505240</v>
      </c>
      <c r="G136" s="355">
        <v>78505240</v>
      </c>
      <c r="H136" s="355">
        <v>78505240</v>
      </c>
      <c r="I136" s="355">
        <v>78505240</v>
      </c>
      <c r="J136" s="355">
        <v>69016654</v>
      </c>
      <c r="K136" s="384"/>
      <c r="L136" s="384"/>
      <c r="M136" s="384"/>
      <c r="N136" s="384"/>
      <c r="O136" s="384"/>
      <c r="P136" s="384"/>
      <c r="Q136" s="384"/>
      <c r="R136" s="384"/>
      <c r="S136" s="384"/>
      <c r="T136" s="356">
        <f>77865768/5</f>
        <v>15573153.6</v>
      </c>
      <c r="U136" s="385"/>
      <c r="V136" s="356">
        <f>111410415/5+1130566657*0.03</f>
        <v>56199082.710000001</v>
      </c>
      <c r="W136" s="855"/>
      <c r="X136" s="855"/>
      <c r="Y136" s="855"/>
      <c r="Z136" s="855"/>
      <c r="AA136" s="855"/>
      <c r="AB136" s="855"/>
      <c r="AC136" s="855"/>
      <c r="AD136" s="855"/>
      <c r="AE136" s="855"/>
      <c r="AF136" s="855"/>
      <c r="AG136" s="855"/>
      <c r="AH136" s="775"/>
    </row>
    <row r="137" spans="1:34" x14ac:dyDescent="0.2">
      <c r="A137" s="783"/>
      <c r="B137" s="784"/>
      <c r="C137" s="781"/>
      <c r="D137" s="405" t="s">
        <v>37</v>
      </c>
      <c r="E137" s="385"/>
      <c r="F137" s="385"/>
      <c r="G137" s="385"/>
      <c r="H137" s="385"/>
      <c r="I137" s="385"/>
      <c r="J137" s="385"/>
      <c r="K137" s="384"/>
      <c r="L137" s="384"/>
      <c r="M137" s="384"/>
      <c r="N137" s="384"/>
      <c r="O137" s="384"/>
      <c r="P137" s="384"/>
      <c r="Q137" s="384"/>
      <c r="R137" s="384"/>
      <c r="S137" s="384"/>
      <c r="T137" s="356"/>
      <c r="U137" s="385"/>
      <c r="V137" s="385"/>
      <c r="W137" s="855"/>
      <c r="X137" s="855"/>
      <c r="Y137" s="855"/>
      <c r="Z137" s="855"/>
      <c r="AA137" s="855"/>
      <c r="AB137" s="855"/>
      <c r="AC137" s="855"/>
      <c r="AD137" s="855"/>
      <c r="AE137" s="855"/>
      <c r="AF137" s="855"/>
      <c r="AG137" s="855"/>
      <c r="AH137" s="775"/>
    </row>
    <row r="138" spans="1:34" ht="23.25" thickBot="1" x14ac:dyDescent="0.25">
      <c r="A138" s="783"/>
      <c r="B138" s="784"/>
      <c r="C138" s="781"/>
      <c r="D138" s="409" t="s">
        <v>38</v>
      </c>
      <c r="E138" s="359">
        <f t="shared" ref="E138:I138" si="54">58850423.3333333/5+(605859706*0.05)</f>
        <v>42063069.966666661</v>
      </c>
      <c r="F138" s="359">
        <f t="shared" si="54"/>
        <v>42063069.966666661</v>
      </c>
      <c r="G138" s="359">
        <f t="shared" si="54"/>
        <v>42063069.966666661</v>
      </c>
      <c r="H138" s="359">
        <f t="shared" si="54"/>
        <v>42063069.966666661</v>
      </c>
      <c r="I138" s="359">
        <f t="shared" si="54"/>
        <v>42063069.966666661</v>
      </c>
      <c r="J138" s="359">
        <v>42063069.966666661</v>
      </c>
      <c r="K138" s="384"/>
      <c r="L138" s="384"/>
      <c r="M138" s="384"/>
      <c r="N138" s="384"/>
      <c r="O138" s="384"/>
      <c r="P138" s="384"/>
      <c r="Q138" s="384"/>
      <c r="R138" s="384"/>
      <c r="S138" s="384"/>
      <c r="T138" s="356">
        <f>35141196/5</f>
        <v>7028239.2000000002</v>
      </c>
      <c r="U138" s="385"/>
      <c r="V138" s="356">
        <f>7414626.4+4552514.25+(600627201*0.03)</f>
        <v>29985956.68</v>
      </c>
      <c r="W138" s="855"/>
      <c r="X138" s="855"/>
      <c r="Y138" s="855"/>
      <c r="Z138" s="855"/>
      <c r="AA138" s="855"/>
      <c r="AB138" s="855"/>
      <c r="AC138" s="855"/>
      <c r="AD138" s="855"/>
      <c r="AE138" s="855"/>
      <c r="AF138" s="855"/>
      <c r="AG138" s="855"/>
      <c r="AH138" s="775"/>
    </row>
    <row r="139" spans="1:34" x14ac:dyDescent="0.2">
      <c r="A139" s="783"/>
      <c r="B139" s="784"/>
      <c r="C139" s="781" t="s">
        <v>361</v>
      </c>
      <c r="D139" s="400" t="s">
        <v>34</v>
      </c>
      <c r="E139" s="351">
        <v>1</v>
      </c>
      <c r="F139" s="351">
        <v>1</v>
      </c>
      <c r="G139" s="351">
        <v>1</v>
      </c>
      <c r="H139" s="351">
        <v>1</v>
      </c>
      <c r="I139" s="351">
        <v>1</v>
      </c>
      <c r="J139" s="351">
        <v>1</v>
      </c>
      <c r="K139" s="384"/>
      <c r="L139" s="384"/>
      <c r="M139" s="384"/>
      <c r="N139" s="384"/>
      <c r="O139" s="384"/>
      <c r="P139" s="384"/>
      <c r="Q139" s="384"/>
      <c r="R139" s="384"/>
      <c r="S139" s="384"/>
      <c r="T139" s="351">
        <v>0.5</v>
      </c>
      <c r="U139" s="385"/>
      <c r="V139" s="351">
        <f>+T139</f>
        <v>0.5</v>
      </c>
      <c r="W139" s="406"/>
      <c r="X139" s="406"/>
      <c r="Y139" s="406"/>
      <c r="Z139" s="406"/>
      <c r="AA139" s="406"/>
      <c r="AB139" s="406"/>
      <c r="AC139" s="406"/>
      <c r="AD139" s="406"/>
      <c r="AE139" s="406"/>
      <c r="AF139" s="436"/>
      <c r="AG139" s="436"/>
      <c r="AH139" s="387"/>
    </row>
    <row r="140" spans="1:34" x14ac:dyDescent="0.2">
      <c r="A140" s="783"/>
      <c r="B140" s="784"/>
      <c r="C140" s="781"/>
      <c r="D140" s="405" t="s">
        <v>36</v>
      </c>
      <c r="E140" s="355">
        <f>78505240+3575564</f>
        <v>82080804</v>
      </c>
      <c r="F140" s="355">
        <f t="shared" ref="F140:I140" si="55">78505240+3575564</f>
        <v>82080804</v>
      </c>
      <c r="G140" s="355">
        <f t="shared" si="55"/>
        <v>82080804</v>
      </c>
      <c r="H140" s="355">
        <f t="shared" si="55"/>
        <v>82080804</v>
      </c>
      <c r="I140" s="355">
        <f t="shared" si="55"/>
        <v>82080804</v>
      </c>
      <c r="J140" s="355">
        <v>72592218</v>
      </c>
      <c r="K140" s="384"/>
      <c r="L140" s="384"/>
      <c r="M140" s="384"/>
      <c r="N140" s="384"/>
      <c r="O140" s="384"/>
      <c r="P140" s="384"/>
      <c r="Q140" s="384"/>
      <c r="R140" s="384"/>
      <c r="S140" s="384"/>
      <c r="T140" s="356">
        <f>77865768/5</f>
        <v>15573153.6</v>
      </c>
      <c r="U140" s="385"/>
      <c r="V140" s="356">
        <f>111410415/5</f>
        <v>22282083</v>
      </c>
      <c r="W140" s="406"/>
      <c r="X140" s="406"/>
      <c r="Y140" s="406"/>
      <c r="Z140" s="406"/>
      <c r="AA140" s="406"/>
      <c r="AB140" s="406"/>
      <c r="AC140" s="406"/>
      <c r="AD140" s="406"/>
      <c r="AE140" s="406"/>
      <c r="AF140" s="436"/>
      <c r="AG140" s="436"/>
      <c r="AH140" s="387"/>
    </row>
    <row r="141" spans="1:34" x14ac:dyDescent="0.2">
      <c r="A141" s="783"/>
      <c r="B141" s="784"/>
      <c r="C141" s="781"/>
      <c r="D141" s="405" t="s">
        <v>37</v>
      </c>
      <c r="E141" s="385"/>
      <c r="F141" s="385"/>
      <c r="G141" s="385"/>
      <c r="H141" s="385"/>
      <c r="I141" s="385"/>
      <c r="J141" s="385"/>
      <c r="K141" s="384"/>
      <c r="L141" s="384"/>
      <c r="M141" s="384"/>
      <c r="N141" s="384"/>
      <c r="O141" s="384"/>
      <c r="P141" s="384"/>
      <c r="Q141" s="384"/>
      <c r="R141" s="384"/>
      <c r="S141" s="384"/>
      <c r="T141" s="356"/>
      <c r="U141" s="385"/>
      <c r="V141" s="437"/>
      <c r="W141" s="406"/>
      <c r="X141" s="406"/>
      <c r="Y141" s="406"/>
      <c r="Z141" s="406"/>
      <c r="AA141" s="406"/>
      <c r="AB141" s="406"/>
      <c r="AC141" s="406"/>
      <c r="AD141" s="406"/>
      <c r="AE141" s="406"/>
      <c r="AF141" s="436"/>
      <c r="AG141" s="436"/>
      <c r="AH141" s="387"/>
    </row>
    <row r="142" spans="1:34" ht="23.25" thickBot="1" x14ac:dyDescent="0.25">
      <c r="A142" s="783"/>
      <c r="B142" s="784"/>
      <c r="C142" s="781"/>
      <c r="D142" s="409" t="s">
        <v>38</v>
      </c>
      <c r="E142" s="359">
        <f t="shared" ref="E142:I142" si="56">58850423.3333333/5</f>
        <v>11770084.66666666</v>
      </c>
      <c r="F142" s="359">
        <f t="shared" si="56"/>
        <v>11770084.66666666</v>
      </c>
      <c r="G142" s="359">
        <f t="shared" si="56"/>
        <v>11770084.66666666</v>
      </c>
      <c r="H142" s="359">
        <f t="shared" si="56"/>
        <v>11770084.66666666</v>
      </c>
      <c r="I142" s="359">
        <f t="shared" si="56"/>
        <v>11770084.66666666</v>
      </c>
      <c r="J142" s="359">
        <v>11770084.66666666</v>
      </c>
      <c r="K142" s="384"/>
      <c r="L142" s="384"/>
      <c r="M142" s="384"/>
      <c r="N142" s="384"/>
      <c r="O142" s="384"/>
      <c r="P142" s="384"/>
      <c r="Q142" s="384"/>
      <c r="R142" s="384"/>
      <c r="S142" s="384"/>
      <c r="T142" s="356">
        <f>35141196/5</f>
        <v>7028239.2000000002</v>
      </c>
      <c r="U142" s="385"/>
      <c r="V142" s="356">
        <v>7414626.4000000004</v>
      </c>
      <c r="W142" s="406"/>
      <c r="X142" s="406"/>
      <c r="Y142" s="406"/>
      <c r="Z142" s="406"/>
      <c r="AA142" s="406"/>
      <c r="AB142" s="406"/>
      <c r="AC142" s="406"/>
      <c r="AD142" s="406"/>
      <c r="AE142" s="406"/>
      <c r="AF142" s="436"/>
      <c r="AG142" s="436"/>
      <c r="AH142" s="387"/>
    </row>
    <row r="143" spans="1:34" x14ac:dyDescent="0.2">
      <c r="A143" s="783"/>
      <c r="B143" s="784"/>
      <c r="C143" s="781" t="s">
        <v>337</v>
      </c>
      <c r="D143" s="400" t="s">
        <v>34</v>
      </c>
      <c r="E143" s="351">
        <f t="shared" ref="E143:I144" si="57">+E123+E127+E131+E135+E139</f>
        <v>5</v>
      </c>
      <c r="F143" s="351">
        <f t="shared" si="57"/>
        <v>5</v>
      </c>
      <c r="G143" s="351">
        <f t="shared" si="57"/>
        <v>5</v>
      </c>
      <c r="H143" s="351">
        <f t="shared" si="57"/>
        <v>5</v>
      </c>
      <c r="I143" s="351">
        <f t="shared" si="57"/>
        <v>5</v>
      </c>
      <c r="J143" s="351">
        <v>5</v>
      </c>
      <c r="K143" s="384"/>
      <c r="L143" s="384"/>
      <c r="M143" s="384"/>
      <c r="N143" s="384"/>
      <c r="O143" s="384"/>
      <c r="P143" s="384"/>
      <c r="Q143" s="384"/>
      <c r="R143" s="384"/>
      <c r="S143" s="384"/>
      <c r="T143" s="351">
        <f>+T123+T127+T131+T135+T139</f>
        <v>4.5</v>
      </c>
      <c r="U143" s="351">
        <f t="shared" ref="U143:V144" si="58">+U123+U127+U131+U135+U139</f>
        <v>0</v>
      </c>
      <c r="V143" s="351">
        <f t="shared" si="58"/>
        <v>4.5</v>
      </c>
      <c r="W143" s="406"/>
      <c r="X143" s="406"/>
      <c r="Y143" s="406"/>
      <c r="Z143" s="406"/>
      <c r="AA143" s="406"/>
      <c r="AB143" s="406"/>
      <c r="AC143" s="406"/>
      <c r="AD143" s="406"/>
      <c r="AE143" s="406"/>
      <c r="AF143" s="436"/>
      <c r="AG143" s="436"/>
      <c r="AH143" s="387"/>
    </row>
    <row r="144" spans="1:34" x14ac:dyDescent="0.2">
      <c r="A144" s="783"/>
      <c r="B144" s="784"/>
      <c r="C144" s="781"/>
      <c r="D144" s="405" t="s">
        <v>36</v>
      </c>
      <c r="E144" s="355">
        <f t="shared" si="57"/>
        <v>2840079000</v>
      </c>
      <c r="F144" s="355">
        <f t="shared" si="57"/>
        <v>2840079000</v>
      </c>
      <c r="G144" s="355">
        <f t="shared" si="57"/>
        <v>2840079000</v>
      </c>
      <c r="H144" s="355">
        <f t="shared" si="57"/>
        <v>2840079000</v>
      </c>
      <c r="I144" s="355">
        <f t="shared" si="57"/>
        <v>2840079000</v>
      </c>
      <c r="J144" s="355">
        <v>2792636070</v>
      </c>
      <c r="K144" s="384"/>
      <c r="L144" s="384"/>
      <c r="M144" s="384"/>
      <c r="N144" s="384"/>
      <c r="O144" s="384"/>
      <c r="P144" s="384"/>
      <c r="Q144" s="384"/>
      <c r="R144" s="384"/>
      <c r="S144" s="384"/>
      <c r="T144" s="438">
        <f>+T124+T128+T132+T136+T140</f>
        <v>493310306</v>
      </c>
      <c r="U144" s="438">
        <f t="shared" si="58"/>
        <v>0</v>
      </c>
      <c r="V144" s="438">
        <f>+V124+V128+V132+V136+V140</f>
        <v>1431686981.0000002</v>
      </c>
      <c r="W144" s="406"/>
      <c r="X144" s="406"/>
      <c r="Y144" s="406"/>
      <c r="Z144" s="406"/>
      <c r="AA144" s="406"/>
      <c r="AB144" s="406"/>
      <c r="AC144" s="406"/>
      <c r="AD144" s="406"/>
      <c r="AE144" s="406"/>
      <c r="AF144" s="436"/>
      <c r="AG144" s="436"/>
      <c r="AH144" s="387"/>
    </row>
    <row r="145" spans="1:34" x14ac:dyDescent="0.2">
      <c r="A145" s="783"/>
      <c r="B145" s="784"/>
      <c r="C145" s="781"/>
      <c r="D145" s="405" t="s">
        <v>37</v>
      </c>
      <c r="E145" s="385"/>
      <c r="F145" s="385"/>
      <c r="G145" s="385"/>
      <c r="H145" s="385"/>
      <c r="I145" s="385"/>
      <c r="J145" s="385"/>
      <c r="K145" s="384"/>
      <c r="L145" s="384"/>
      <c r="M145" s="384"/>
      <c r="N145" s="384"/>
      <c r="O145" s="384"/>
      <c r="P145" s="384"/>
      <c r="Q145" s="384"/>
      <c r="R145" s="384"/>
      <c r="S145" s="384"/>
      <c r="T145" s="386"/>
      <c r="U145" s="385"/>
      <c r="V145" s="385"/>
      <c r="W145" s="406"/>
      <c r="X145" s="406"/>
      <c r="Y145" s="406"/>
      <c r="Z145" s="406"/>
      <c r="AA145" s="406"/>
      <c r="AB145" s="406"/>
      <c r="AC145" s="406"/>
      <c r="AD145" s="406"/>
      <c r="AE145" s="406"/>
      <c r="AF145" s="436"/>
      <c r="AG145" s="436"/>
      <c r="AH145" s="387"/>
    </row>
    <row r="146" spans="1:34" ht="23.25" thickBot="1" x14ac:dyDescent="0.25">
      <c r="A146" s="858"/>
      <c r="B146" s="860"/>
      <c r="C146" s="856"/>
      <c r="D146" s="424" t="s">
        <v>38</v>
      </c>
      <c r="E146" s="359">
        <f t="shared" ref="E146:I146" si="59">+E126+E130+E134+E138+E142</f>
        <v>688685442.33333325</v>
      </c>
      <c r="F146" s="359">
        <f t="shared" si="59"/>
        <v>688685442.33333325</v>
      </c>
      <c r="G146" s="359">
        <f t="shared" si="59"/>
        <v>688685442.33333325</v>
      </c>
      <c r="H146" s="359">
        <f t="shared" si="59"/>
        <v>688685442.33333325</v>
      </c>
      <c r="I146" s="359">
        <f t="shared" si="59"/>
        <v>688685442.33333325</v>
      </c>
      <c r="J146" s="359">
        <v>688685442.33333325</v>
      </c>
      <c r="K146" s="398"/>
      <c r="L146" s="398"/>
      <c r="M146" s="398"/>
      <c r="N146" s="398"/>
      <c r="O146" s="398"/>
      <c r="P146" s="398"/>
      <c r="Q146" s="398"/>
      <c r="R146" s="398"/>
      <c r="S146" s="398"/>
      <c r="T146" s="439">
        <f>+T126+T130+T134+T138+T142</f>
        <v>484061152.99999994</v>
      </c>
      <c r="U146" s="439">
        <f t="shared" ref="U146:V146" si="60">+U126+U130+U134+U138+U142</f>
        <v>0</v>
      </c>
      <c r="V146" s="439">
        <f t="shared" si="60"/>
        <v>676241217.99999988</v>
      </c>
      <c r="W146" s="440"/>
      <c r="X146" s="440"/>
      <c r="Y146" s="440"/>
      <c r="Z146" s="440"/>
      <c r="AA146" s="440"/>
      <c r="AB146" s="440"/>
      <c r="AC146" s="440"/>
      <c r="AD146" s="440"/>
      <c r="AE146" s="440"/>
      <c r="AF146" s="441"/>
      <c r="AG146" s="441"/>
      <c r="AH146" s="442"/>
    </row>
    <row r="147" spans="1:34" x14ac:dyDescent="0.2">
      <c r="A147" s="809">
        <v>12</v>
      </c>
      <c r="B147" s="852" t="s">
        <v>160</v>
      </c>
      <c r="C147" s="847" t="s">
        <v>572</v>
      </c>
      <c r="D147" s="400" t="s">
        <v>34</v>
      </c>
      <c r="E147" s="351">
        <v>1.5</v>
      </c>
      <c r="F147" s="351">
        <v>1.5</v>
      </c>
      <c r="G147" s="351">
        <v>1.5</v>
      </c>
      <c r="H147" s="351">
        <v>1.5</v>
      </c>
      <c r="I147" s="351">
        <v>1.5</v>
      </c>
      <c r="J147" s="351">
        <v>1.5</v>
      </c>
      <c r="K147" s="402"/>
      <c r="L147" s="402"/>
      <c r="M147" s="402"/>
      <c r="N147" s="402"/>
      <c r="O147" s="402"/>
      <c r="P147" s="402"/>
      <c r="Q147" s="402"/>
      <c r="R147" s="402"/>
      <c r="S147" s="402"/>
      <c r="T147" s="351">
        <v>1.5</v>
      </c>
      <c r="U147" s="403"/>
      <c r="V147" s="351">
        <v>1.5</v>
      </c>
      <c r="W147" s="779" t="s">
        <v>279</v>
      </c>
      <c r="X147" s="779" t="s">
        <v>286</v>
      </c>
      <c r="Y147" s="779" t="s">
        <v>284</v>
      </c>
      <c r="Z147" s="851"/>
      <c r="AA147" s="779"/>
      <c r="AB147" s="785">
        <v>1628</v>
      </c>
      <c r="AC147" s="785">
        <v>1200</v>
      </c>
      <c r="AD147" s="785" t="s">
        <v>202</v>
      </c>
      <c r="AE147" s="785" t="s">
        <v>197</v>
      </c>
      <c r="AF147" s="785" t="s">
        <v>203</v>
      </c>
      <c r="AG147" s="782">
        <v>2828</v>
      </c>
      <c r="AH147" s="775"/>
    </row>
    <row r="148" spans="1:34" x14ac:dyDescent="0.2">
      <c r="A148" s="783"/>
      <c r="B148" s="853"/>
      <c r="C148" s="779"/>
      <c r="D148" s="405" t="s">
        <v>36</v>
      </c>
      <c r="E148" s="355">
        <f t="shared" ref="E148:I148" si="61">43960000*E147/2</f>
        <v>32970000</v>
      </c>
      <c r="F148" s="355">
        <f t="shared" si="61"/>
        <v>32970000</v>
      </c>
      <c r="G148" s="355">
        <f t="shared" si="61"/>
        <v>32970000</v>
      </c>
      <c r="H148" s="355">
        <f t="shared" si="61"/>
        <v>32970000</v>
      </c>
      <c r="I148" s="355">
        <f t="shared" si="61"/>
        <v>32970000</v>
      </c>
      <c r="J148" s="355">
        <v>32970000</v>
      </c>
      <c r="K148" s="384"/>
      <c r="L148" s="384"/>
      <c r="M148" s="384"/>
      <c r="N148" s="384"/>
      <c r="O148" s="384"/>
      <c r="P148" s="384"/>
      <c r="Q148" s="384"/>
      <c r="R148" s="384"/>
      <c r="S148" s="384"/>
      <c r="T148" s="356">
        <f>7958165*T147/2</f>
        <v>5968623.75</v>
      </c>
      <c r="U148" s="385"/>
      <c r="V148" s="356">
        <f>7958165*V147/2</f>
        <v>5968623.75</v>
      </c>
      <c r="W148" s="779"/>
      <c r="X148" s="779"/>
      <c r="Y148" s="779"/>
      <c r="Z148" s="851"/>
      <c r="AA148" s="779"/>
      <c r="AB148" s="785"/>
      <c r="AC148" s="785"/>
      <c r="AD148" s="785"/>
      <c r="AE148" s="785"/>
      <c r="AF148" s="785"/>
      <c r="AG148" s="782"/>
      <c r="AH148" s="775"/>
    </row>
    <row r="149" spans="1:34" x14ac:dyDescent="0.2">
      <c r="A149" s="783"/>
      <c r="B149" s="853"/>
      <c r="C149" s="779"/>
      <c r="D149" s="405" t="s">
        <v>37</v>
      </c>
      <c r="E149" s="385"/>
      <c r="F149" s="385"/>
      <c r="G149" s="385"/>
      <c r="H149" s="385"/>
      <c r="I149" s="385"/>
      <c r="J149" s="385"/>
      <c r="K149" s="384"/>
      <c r="L149" s="384"/>
      <c r="M149" s="384"/>
      <c r="N149" s="384"/>
      <c r="O149" s="384"/>
      <c r="P149" s="384"/>
      <c r="Q149" s="384"/>
      <c r="R149" s="384"/>
      <c r="S149" s="384"/>
      <c r="T149" s="386"/>
      <c r="U149" s="385"/>
      <c r="V149" s="356"/>
      <c r="W149" s="779"/>
      <c r="X149" s="779"/>
      <c r="Y149" s="779"/>
      <c r="Z149" s="851"/>
      <c r="AA149" s="779"/>
      <c r="AB149" s="785"/>
      <c r="AC149" s="785"/>
      <c r="AD149" s="785"/>
      <c r="AE149" s="785"/>
      <c r="AF149" s="785"/>
      <c r="AG149" s="782"/>
      <c r="AH149" s="775"/>
    </row>
    <row r="150" spans="1:34" ht="22.5" x14ac:dyDescent="0.2">
      <c r="A150" s="783"/>
      <c r="B150" s="853"/>
      <c r="C150" s="779"/>
      <c r="D150" s="409" t="s">
        <v>38</v>
      </c>
      <c r="E150" s="355">
        <f t="shared" ref="E150:I150" si="62">7992800/2</f>
        <v>3996400</v>
      </c>
      <c r="F150" s="355">
        <f t="shared" si="62"/>
        <v>3996400</v>
      </c>
      <c r="G150" s="355">
        <f t="shared" si="62"/>
        <v>3996400</v>
      </c>
      <c r="H150" s="355">
        <f t="shared" si="62"/>
        <v>3996400</v>
      </c>
      <c r="I150" s="355">
        <f t="shared" si="62"/>
        <v>3996400</v>
      </c>
      <c r="J150" s="355">
        <v>3996400</v>
      </c>
      <c r="K150" s="384"/>
      <c r="L150" s="384"/>
      <c r="M150" s="384"/>
      <c r="N150" s="384"/>
      <c r="O150" s="384"/>
      <c r="P150" s="384"/>
      <c r="Q150" s="384"/>
      <c r="R150" s="384"/>
      <c r="S150" s="384"/>
      <c r="T150" s="356">
        <f>7992800/2</f>
        <v>3996400</v>
      </c>
      <c r="U150" s="385"/>
      <c r="V150" s="356">
        <f>7992800/2</f>
        <v>3996400</v>
      </c>
      <c r="W150" s="779"/>
      <c r="X150" s="779"/>
      <c r="Y150" s="779"/>
      <c r="Z150" s="851"/>
      <c r="AA150" s="779"/>
      <c r="AB150" s="785"/>
      <c r="AC150" s="785"/>
      <c r="AD150" s="785"/>
      <c r="AE150" s="785"/>
      <c r="AF150" s="785"/>
      <c r="AG150" s="782"/>
      <c r="AH150" s="775"/>
    </row>
    <row r="151" spans="1:34" x14ac:dyDescent="0.2">
      <c r="A151" s="783"/>
      <c r="B151" s="853"/>
      <c r="C151" s="779" t="s">
        <v>573</v>
      </c>
      <c r="D151" s="400" t="s">
        <v>34</v>
      </c>
      <c r="E151" s="435">
        <v>0.5</v>
      </c>
      <c r="F151" s="435">
        <v>0.5</v>
      </c>
      <c r="G151" s="435">
        <v>0.5</v>
      </c>
      <c r="H151" s="435">
        <v>0.5</v>
      </c>
      <c r="I151" s="435">
        <v>0.5</v>
      </c>
      <c r="J151" s="435">
        <v>0.5</v>
      </c>
      <c r="K151" s="384"/>
      <c r="L151" s="384"/>
      <c r="M151" s="384"/>
      <c r="N151" s="384"/>
      <c r="O151" s="384"/>
      <c r="P151" s="384"/>
      <c r="Q151" s="384"/>
      <c r="R151" s="384"/>
      <c r="S151" s="384"/>
      <c r="T151" s="435">
        <v>0.5</v>
      </c>
      <c r="U151" s="385"/>
      <c r="V151" s="435">
        <v>0.5</v>
      </c>
      <c r="W151" s="845" t="s">
        <v>221</v>
      </c>
      <c r="X151" s="845" t="s">
        <v>287</v>
      </c>
      <c r="Y151" s="845" t="s">
        <v>285</v>
      </c>
      <c r="Z151" s="848"/>
      <c r="AA151" s="845"/>
      <c r="AB151" s="839">
        <v>171392</v>
      </c>
      <c r="AC151" s="839">
        <v>186362</v>
      </c>
      <c r="AD151" s="839" t="s">
        <v>202</v>
      </c>
      <c r="AE151" s="839" t="s">
        <v>197</v>
      </c>
      <c r="AF151" s="839" t="s">
        <v>203</v>
      </c>
      <c r="AG151" s="842">
        <v>357754</v>
      </c>
      <c r="AH151" s="775"/>
    </row>
    <row r="152" spans="1:34" x14ac:dyDescent="0.2">
      <c r="A152" s="783"/>
      <c r="B152" s="853"/>
      <c r="C152" s="779"/>
      <c r="D152" s="405" t="s">
        <v>36</v>
      </c>
      <c r="E152" s="355">
        <f t="shared" ref="E152:I152" si="63">43960000*E151/2</f>
        <v>10990000</v>
      </c>
      <c r="F152" s="355">
        <f t="shared" si="63"/>
        <v>10990000</v>
      </c>
      <c r="G152" s="355">
        <f t="shared" si="63"/>
        <v>10990000</v>
      </c>
      <c r="H152" s="355">
        <f t="shared" si="63"/>
        <v>10990000</v>
      </c>
      <c r="I152" s="355">
        <f t="shared" si="63"/>
        <v>10990000</v>
      </c>
      <c r="J152" s="355">
        <v>10990000</v>
      </c>
      <c r="K152" s="384"/>
      <c r="L152" s="384"/>
      <c r="M152" s="384"/>
      <c r="N152" s="384"/>
      <c r="O152" s="384"/>
      <c r="P152" s="384"/>
      <c r="Q152" s="384"/>
      <c r="R152" s="384"/>
      <c r="S152" s="384"/>
      <c r="T152" s="356">
        <f>7958165*T151/2</f>
        <v>1989541.25</v>
      </c>
      <c r="U152" s="385"/>
      <c r="V152" s="356">
        <f>7958165*V151/2</f>
        <v>1989541.25</v>
      </c>
      <c r="W152" s="846"/>
      <c r="X152" s="846"/>
      <c r="Y152" s="846"/>
      <c r="Z152" s="849"/>
      <c r="AA152" s="846"/>
      <c r="AB152" s="840"/>
      <c r="AC152" s="840"/>
      <c r="AD152" s="840"/>
      <c r="AE152" s="840"/>
      <c r="AF152" s="840"/>
      <c r="AG152" s="843"/>
      <c r="AH152" s="775"/>
    </row>
    <row r="153" spans="1:34" x14ac:dyDescent="0.2">
      <c r="A153" s="783"/>
      <c r="B153" s="853"/>
      <c r="C153" s="779"/>
      <c r="D153" s="405" t="s">
        <v>37</v>
      </c>
      <c r="E153" s="385"/>
      <c r="F153" s="385"/>
      <c r="G153" s="385"/>
      <c r="H153" s="385"/>
      <c r="I153" s="385"/>
      <c r="J153" s="385"/>
      <c r="K153" s="384"/>
      <c r="L153" s="384"/>
      <c r="M153" s="384"/>
      <c r="N153" s="384"/>
      <c r="O153" s="384"/>
      <c r="P153" s="384"/>
      <c r="Q153" s="384"/>
      <c r="R153" s="384"/>
      <c r="S153" s="384"/>
      <c r="T153" s="386"/>
      <c r="U153" s="385"/>
      <c r="V153" s="385"/>
      <c r="W153" s="846"/>
      <c r="X153" s="846"/>
      <c r="Y153" s="846"/>
      <c r="Z153" s="849"/>
      <c r="AA153" s="846"/>
      <c r="AB153" s="840"/>
      <c r="AC153" s="840"/>
      <c r="AD153" s="840"/>
      <c r="AE153" s="840"/>
      <c r="AF153" s="840"/>
      <c r="AG153" s="843"/>
      <c r="AH153" s="775"/>
    </row>
    <row r="154" spans="1:34" ht="22.5" x14ac:dyDescent="0.2">
      <c r="A154" s="783"/>
      <c r="B154" s="853"/>
      <c r="C154" s="779"/>
      <c r="D154" s="409" t="s">
        <v>38</v>
      </c>
      <c r="E154" s="359">
        <f t="shared" ref="E154:I154" si="64">7992800/2</f>
        <v>3996400</v>
      </c>
      <c r="F154" s="359">
        <f t="shared" si="64"/>
        <v>3996400</v>
      </c>
      <c r="G154" s="359">
        <f t="shared" si="64"/>
        <v>3996400</v>
      </c>
      <c r="H154" s="359">
        <f t="shared" si="64"/>
        <v>3996400</v>
      </c>
      <c r="I154" s="359">
        <f t="shared" si="64"/>
        <v>3996400</v>
      </c>
      <c r="J154" s="359">
        <v>3996400</v>
      </c>
      <c r="K154" s="384"/>
      <c r="L154" s="384"/>
      <c r="M154" s="384"/>
      <c r="N154" s="384"/>
      <c r="O154" s="384"/>
      <c r="P154" s="384"/>
      <c r="Q154" s="384"/>
      <c r="R154" s="384"/>
      <c r="S154" s="384"/>
      <c r="T154" s="356">
        <v>3996400</v>
      </c>
      <c r="U154" s="385"/>
      <c r="V154" s="356">
        <v>3996400</v>
      </c>
      <c r="W154" s="847"/>
      <c r="X154" s="847"/>
      <c r="Y154" s="847"/>
      <c r="Z154" s="850"/>
      <c r="AA154" s="847"/>
      <c r="AB154" s="841"/>
      <c r="AC154" s="841"/>
      <c r="AD154" s="841"/>
      <c r="AE154" s="841"/>
      <c r="AF154" s="841"/>
      <c r="AG154" s="844"/>
      <c r="AH154" s="775"/>
    </row>
    <row r="155" spans="1:34" x14ac:dyDescent="0.2">
      <c r="A155" s="783"/>
      <c r="B155" s="853"/>
      <c r="C155" s="779" t="s">
        <v>337</v>
      </c>
      <c r="D155" s="400" t="s">
        <v>34</v>
      </c>
      <c r="E155" s="435">
        <f t="shared" ref="E155:I156" si="65">+E147+E151</f>
        <v>2</v>
      </c>
      <c r="F155" s="435">
        <f t="shared" si="65"/>
        <v>2</v>
      </c>
      <c r="G155" s="435">
        <f t="shared" si="65"/>
        <v>2</v>
      </c>
      <c r="H155" s="435">
        <f t="shared" si="65"/>
        <v>2</v>
      </c>
      <c r="I155" s="435">
        <f t="shared" si="65"/>
        <v>2</v>
      </c>
      <c r="J155" s="435">
        <v>2</v>
      </c>
      <c r="K155" s="384"/>
      <c r="L155" s="384"/>
      <c r="M155" s="384"/>
      <c r="N155" s="384"/>
      <c r="O155" s="384"/>
      <c r="P155" s="384"/>
      <c r="Q155" s="384"/>
      <c r="R155" s="384"/>
      <c r="S155" s="384"/>
      <c r="T155" s="435">
        <f>+T147+T151</f>
        <v>2</v>
      </c>
      <c r="U155" s="385"/>
      <c r="V155" s="435">
        <f>+V147+V151</f>
        <v>2</v>
      </c>
      <c r="W155" s="406"/>
      <c r="X155" s="406"/>
      <c r="Y155" s="406"/>
      <c r="Z155" s="406"/>
      <c r="AA155" s="406"/>
      <c r="AB155" s="406"/>
      <c r="AC155" s="406"/>
      <c r="AD155" s="406"/>
      <c r="AE155" s="406"/>
      <c r="AF155" s="436"/>
      <c r="AG155" s="436"/>
      <c r="AH155" s="775"/>
    </row>
    <row r="156" spans="1:34" x14ac:dyDescent="0.2">
      <c r="A156" s="783"/>
      <c r="B156" s="853"/>
      <c r="C156" s="779"/>
      <c r="D156" s="405" t="s">
        <v>36</v>
      </c>
      <c r="E156" s="355">
        <f t="shared" si="65"/>
        <v>43960000</v>
      </c>
      <c r="F156" s="355">
        <f t="shared" si="65"/>
        <v>43960000</v>
      </c>
      <c r="G156" s="355">
        <f t="shared" si="65"/>
        <v>43960000</v>
      </c>
      <c r="H156" s="355">
        <f t="shared" si="65"/>
        <v>43960000</v>
      </c>
      <c r="I156" s="355">
        <f t="shared" si="65"/>
        <v>43960000</v>
      </c>
      <c r="J156" s="355">
        <v>43960000</v>
      </c>
      <c r="K156" s="384"/>
      <c r="L156" s="384"/>
      <c r="M156" s="384"/>
      <c r="N156" s="384"/>
      <c r="O156" s="384"/>
      <c r="P156" s="384"/>
      <c r="Q156" s="384"/>
      <c r="R156" s="384"/>
      <c r="S156" s="384"/>
      <c r="T156" s="356">
        <f>+T148+T152</f>
        <v>7958165</v>
      </c>
      <c r="U156" s="385"/>
      <c r="V156" s="356">
        <f>7992800/2</f>
        <v>3996400</v>
      </c>
      <c r="W156" s="406"/>
      <c r="X156" s="406"/>
      <c r="Y156" s="406"/>
      <c r="Z156" s="406"/>
      <c r="AA156" s="406"/>
      <c r="AB156" s="406"/>
      <c r="AC156" s="406"/>
      <c r="AD156" s="406"/>
      <c r="AE156" s="406"/>
      <c r="AF156" s="436"/>
      <c r="AG156" s="436"/>
      <c r="AH156" s="775"/>
    </row>
    <row r="157" spans="1:34" x14ac:dyDescent="0.2">
      <c r="A157" s="783"/>
      <c r="B157" s="853"/>
      <c r="C157" s="779"/>
      <c r="D157" s="405" t="s">
        <v>37</v>
      </c>
      <c r="E157" s="385"/>
      <c r="F157" s="385"/>
      <c r="G157" s="385"/>
      <c r="H157" s="385"/>
      <c r="I157" s="385"/>
      <c r="J157" s="385"/>
      <c r="K157" s="384"/>
      <c r="L157" s="384"/>
      <c r="M157" s="384"/>
      <c r="N157" s="384"/>
      <c r="O157" s="384"/>
      <c r="P157" s="384"/>
      <c r="Q157" s="384"/>
      <c r="R157" s="384"/>
      <c r="S157" s="384"/>
      <c r="T157" s="386"/>
      <c r="U157" s="385"/>
      <c r="V157" s="385"/>
      <c r="W157" s="406"/>
      <c r="X157" s="406"/>
      <c r="Y157" s="406"/>
      <c r="Z157" s="406"/>
      <c r="AA157" s="406"/>
      <c r="AB157" s="406"/>
      <c r="AC157" s="406"/>
      <c r="AD157" s="406"/>
      <c r="AE157" s="406"/>
      <c r="AF157" s="436"/>
      <c r="AG157" s="436"/>
      <c r="AH157" s="775"/>
    </row>
    <row r="158" spans="1:34" ht="22.5" x14ac:dyDescent="0.2">
      <c r="A158" s="783"/>
      <c r="B158" s="853"/>
      <c r="C158" s="854"/>
      <c r="D158" s="358" t="s">
        <v>38</v>
      </c>
      <c r="E158" s="359">
        <f t="shared" ref="E158:I158" si="66">+E154+E150</f>
        <v>7992800</v>
      </c>
      <c r="F158" s="359">
        <f t="shared" si="66"/>
        <v>7992800</v>
      </c>
      <c r="G158" s="359">
        <f t="shared" si="66"/>
        <v>7992800</v>
      </c>
      <c r="H158" s="359">
        <f t="shared" si="66"/>
        <v>7992800</v>
      </c>
      <c r="I158" s="359">
        <f t="shared" si="66"/>
        <v>7992800</v>
      </c>
      <c r="J158" s="359">
        <v>7992800</v>
      </c>
      <c r="K158" s="410"/>
      <c r="L158" s="410"/>
      <c r="M158" s="410"/>
      <c r="N158" s="410"/>
      <c r="O158" s="410"/>
      <c r="P158" s="410"/>
      <c r="Q158" s="410"/>
      <c r="R158" s="410"/>
      <c r="S158" s="410"/>
      <c r="T158" s="443">
        <f>+T150+T154</f>
        <v>7992800</v>
      </c>
      <c r="U158" s="443">
        <f t="shared" ref="U158:V158" si="67">+U150+U154</f>
        <v>0</v>
      </c>
      <c r="V158" s="443">
        <f t="shared" si="67"/>
        <v>7992800</v>
      </c>
      <c r="W158" s="406"/>
      <c r="X158" s="406"/>
      <c r="Y158" s="406"/>
      <c r="Z158" s="406"/>
      <c r="AA158" s="406"/>
      <c r="AB158" s="406"/>
      <c r="AC158" s="406"/>
      <c r="AD158" s="406"/>
      <c r="AE158" s="406"/>
      <c r="AF158" s="436"/>
      <c r="AG158" s="436"/>
      <c r="AH158" s="775"/>
    </row>
    <row r="159" spans="1:34" ht="9.75" customHeight="1" x14ac:dyDescent="0.2">
      <c r="A159" s="131"/>
      <c r="B159" s="833" t="s">
        <v>369</v>
      </c>
      <c r="C159" s="781" t="s">
        <v>370</v>
      </c>
      <c r="D159" s="837" t="s">
        <v>34</v>
      </c>
      <c r="E159" s="830">
        <v>50</v>
      </c>
      <c r="F159" s="830">
        <v>50</v>
      </c>
      <c r="G159" s="830">
        <v>50</v>
      </c>
      <c r="H159" s="830">
        <v>50</v>
      </c>
      <c r="I159" s="830">
        <v>50</v>
      </c>
      <c r="J159" s="830">
        <v>50</v>
      </c>
      <c r="K159" s="384"/>
      <c r="L159" s="384"/>
      <c r="M159" s="384"/>
      <c r="N159" s="384"/>
      <c r="O159" s="384"/>
      <c r="P159" s="384"/>
      <c r="Q159" s="384"/>
      <c r="R159" s="384"/>
      <c r="S159" s="384"/>
      <c r="T159" s="830">
        <v>52.7</v>
      </c>
      <c r="U159" s="385"/>
      <c r="V159" s="830">
        <v>57.7</v>
      </c>
      <c r="W159" s="832" t="s">
        <v>288</v>
      </c>
      <c r="X159" s="444" t="s">
        <v>574</v>
      </c>
      <c r="Y159" s="445" t="s">
        <v>575</v>
      </c>
      <c r="Z159" s="446" t="s">
        <v>576</v>
      </c>
      <c r="AA159" s="810" t="s">
        <v>577</v>
      </c>
      <c r="AB159" s="444">
        <v>37814</v>
      </c>
      <c r="AC159" s="444">
        <v>39151</v>
      </c>
      <c r="AD159" s="810" t="s">
        <v>202</v>
      </c>
      <c r="AE159" s="810" t="s">
        <v>578</v>
      </c>
      <c r="AF159" s="810" t="s">
        <v>203</v>
      </c>
      <c r="AG159" s="815">
        <f>AB159+AC159+AB160+AC160+AB161+AC161+AB162+AC162</f>
        <v>328303</v>
      </c>
      <c r="AH159" s="824" t="s">
        <v>579</v>
      </c>
    </row>
    <row r="160" spans="1:34" ht="9.75" customHeight="1" x14ac:dyDescent="0.2">
      <c r="A160" s="131"/>
      <c r="B160" s="834"/>
      <c r="C160" s="836"/>
      <c r="D160" s="838"/>
      <c r="E160" s="831"/>
      <c r="F160" s="831"/>
      <c r="G160" s="831"/>
      <c r="H160" s="831"/>
      <c r="I160" s="831"/>
      <c r="J160" s="831"/>
      <c r="K160" s="384"/>
      <c r="L160" s="384"/>
      <c r="M160" s="384"/>
      <c r="N160" s="384"/>
      <c r="O160" s="384"/>
      <c r="P160" s="384"/>
      <c r="Q160" s="384"/>
      <c r="R160" s="384"/>
      <c r="S160" s="384"/>
      <c r="T160" s="831"/>
      <c r="U160" s="385"/>
      <c r="V160" s="831"/>
      <c r="W160" s="813"/>
      <c r="X160" s="444" t="s">
        <v>580</v>
      </c>
      <c r="Y160" s="445" t="s">
        <v>581</v>
      </c>
      <c r="Z160" s="445" t="s">
        <v>581</v>
      </c>
      <c r="AA160" s="813"/>
      <c r="AB160" s="444">
        <v>29975</v>
      </c>
      <c r="AC160" s="444">
        <v>31476</v>
      </c>
      <c r="AD160" s="811"/>
      <c r="AE160" s="811"/>
      <c r="AF160" s="811"/>
      <c r="AG160" s="816"/>
      <c r="AH160" s="825"/>
    </row>
    <row r="161" spans="1:92" ht="9.75" customHeight="1" x14ac:dyDescent="0.2">
      <c r="A161" s="131"/>
      <c r="B161" s="834"/>
      <c r="C161" s="836"/>
      <c r="D161" s="838"/>
      <c r="E161" s="831"/>
      <c r="F161" s="831"/>
      <c r="G161" s="831"/>
      <c r="H161" s="831"/>
      <c r="I161" s="831"/>
      <c r="J161" s="831"/>
      <c r="K161" s="384"/>
      <c r="L161" s="384"/>
      <c r="M161" s="384"/>
      <c r="N161" s="384"/>
      <c r="O161" s="384"/>
      <c r="P161" s="384"/>
      <c r="Q161" s="384"/>
      <c r="R161" s="384"/>
      <c r="S161" s="384"/>
      <c r="T161" s="831"/>
      <c r="U161" s="385"/>
      <c r="V161" s="831"/>
      <c r="W161" s="813"/>
      <c r="X161" s="444" t="s">
        <v>582</v>
      </c>
      <c r="Y161" s="445" t="s">
        <v>583</v>
      </c>
      <c r="Z161" s="445" t="s">
        <v>583</v>
      </c>
      <c r="AA161" s="813"/>
      <c r="AB161" s="444">
        <v>54174</v>
      </c>
      <c r="AC161" s="444">
        <v>52442</v>
      </c>
      <c r="AD161" s="811"/>
      <c r="AE161" s="811"/>
      <c r="AF161" s="811"/>
      <c r="AG161" s="816"/>
      <c r="AH161" s="825"/>
    </row>
    <row r="162" spans="1:92" ht="9.75" customHeight="1" x14ac:dyDescent="0.2">
      <c r="A162" s="807">
        <v>13</v>
      </c>
      <c r="B162" s="834"/>
      <c r="C162" s="836"/>
      <c r="D162" s="838"/>
      <c r="E162" s="831"/>
      <c r="F162" s="831"/>
      <c r="G162" s="831"/>
      <c r="H162" s="831"/>
      <c r="I162" s="831"/>
      <c r="J162" s="831"/>
      <c r="K162" s="384"/>
      <c r="L162" s="384"/>
      <c r="M162" s="384"/>
      <c r="N162" s="384"/>
      <c r="O162" s="384"/>
      <c r="P162" s="384"/>
      <c r="Q162" s="384"/>
      <c r="R162" s="384"/>
      <c r="S162" s="384"/>
      <c r="T162" s="831"/>
      <c r="U162" s="385"/>
      <c r="V162" s="831"/>
      <c r="W162" s="813"/>
      <c r="X162" s="810" t="s">
        <v>584</v>
      </c>
      <c r="Y162" s="810" t="s">
        <v>585</v>
      </c>
      <c r="Z162" s="810" t="s">
        <v>586</v>
      </c>
      <c r="AA162" s="813"/>
      <c r="AB162" s="810">
        <v>40767</v>
      </c>
      <c r="AC162" s="810">
        <v>42504</v>
      </c>
      <c r="AD162" s="811"/>
      <c r="AE162" s="811"/>
      <c r="AF162" s="811"/>
      <c r="AG162" s="816"/>
      <c r="AH162" s="825"/>
    </row>
    <row r="163" spans="1:92" ht="27.75" customHeight="1" x14ac:dyDescent="0.2">
      <c r="A163" s="808"/>
      <c r="B163" s="834"/>
      <c r="C163" s="836"/>
      <c r="D163" s="354" t="s">
        <v>36</v>
      </c>
      <c r="E163" s="355">
        <f t="shared" ref="E163:I163" si="68">200000000+301265500/2-250</f>
        <v>350632500</v>
      </c>
      <c r="F163" s="355">
        <f t="shared" si="68"/>
        <v>350632500</v>
      </c>
      <c r="G163" s="355">
        <f t="shared" si="68"/>
        <v>350632500</v>
      </c>
      <c r="H163" s="355">
        <f t="shared" si="68"/>
        <v>350632500</v>
      </c>
      <c r="I163" s="355">
        <f t="shared" si="68"/>
        <v>350632500</v>
      </c>
      <c r="J163" s="355">
        <v>350632500</v>
      </c>
      <c r="K163" s="384"/>
      <c r="L163" s="384"/>
      <c r="M163" s="384"/>
      <c r="N163" s="384"/>
      <c r="O163" s="384"/>
      <c r="P163" s="384"/>
      <c r="Q163" s="384"/>
      <c r="R163" s="384"/>
      <c r="S163" s="384"/>
      <c r="T163" s="356">
        <f>4116292*T159/135</f>
        <v>1606878.4325925927</v>
      </c>
      <c r="U163" s="385"/>
      <c r="V163" s="356">
        <f>39539743/140*V159</f>
        <v>16296022.650714286</v>
      </c>
      <c r="W163" s="813"/>
      <c r="X163" s="811"/>
      <c r="Y163" s="811"/>
      <c r="Z163" s="811"/>
      <c r="AA163" s="813"/>
      <c r="AB163" s="811"/>
      <c r="AC163" s="811"/>
      <c r="AD163" s="811"/>
      <c r="AE163" s="811"/>
      <c r="AF163" s="811"/>
      <c r="AG163" s="816"/>
      <c r="AH163" s="825"/>
    </row>
    <row r="164" spans="1:92" ht="27.75" customHeight="1" x14ac:dyDescent="0.2">
      <c r="A164" s="808"/>
      <c r="B164" s="834"/>
      <c r="C164" s="836"/>
      <c r="D164" s="354" t="s">
        <v>37</v>
      </c>
      <c r="E164" s="385"/>
      <c r="F164" s="385"/>
      <c r="G164" s="385"/>
      <c r="H164" s="385"/>
      <c r="I164" s="385"/>
      <c r="J164" s="385"/>
      <c r="K164" s="384"/>
      <c r="L164" s="384"/>
      <c r="M164" s="384"/>
      <c r="N164" s="384"/>
      <c r="O164" s="384"/>
      <c r="P164" s="384"/>
      <c r="Q164" s="384"/>
      <c r="R164" s="384"/>
      <c r="S164" s="384"/>
      <c r="T164" s="415"/>
      <c r="U164" s="385"/>
      <c r="V164" s="385"/>
      <c r="W164" s="813"/>
      <c r="X164" s="811"/>
      <c r="Y164" s="811"/>
      <c r="Z164" s="811"/>
      <c r="AA164" s="813"/>
      <c r="AB164" s="811"/>
      <c r="AC164" s="811"/>
      <c r="AD164" s="811"/>
      <c r="AE164" s="811"/>
      <c r="AF164" s="811"/>
      <c r="AG164" s="816"/>
      <c r="AH164" s="825"/>
    </row>
    <row r="165" spans="1:92" ht="35.25" customHeight="1" x14ac:dyDescent="0.2">
      <c r="A165" s="808"/>
      <c r="B165" s="834"/>
      <c r="C165" s="836"/>
      <c r="D165" s="368" t="s">
        <v>38</v>
      </c>
      <c r="E165" s="355">
        <f t="shared" ref="E165:I165" si="69">95690893/2+225000000</f>
        <v>272845446.5</v>
      </c>
      <c r="F165" s="355">
        <f t="shared" si="69"/>
        <v>272845446.5</v>
      </c>
      <c r="G165" s="355">
        <f t="shared" si="69"/>
        <v>272845446.5</v>
      </c>
      <c r="H165" s="355">
        <f t="shared" si="69"/>
        <v>272845446.5</v>
      </c>
      <c r="I165" s="355">
        <f t="shared" si="69"/>
        <v>272845446.5</v>
      </c>
      <c r="J165" s="355">
        <v>272845446.5</v>
      </c>
      <c r="K165" s="384"/>
      <c r="L165" s="384"/>
      <c r="M165" s="384"/>
      <c r="N165" s="384"/>
      <c r="O165" s="384"/>
      <c r="P165" s="384"/>
      <c r="Q165" s="384"/>
      <c r="R165" s="384"/>
      <c r="S165" s="384"/>
      <c r="T165" s="356">
        <f>27458770/2+50000000</f>
        <v>63729385</v>
      </c>
      <c r="U165" s="385"/>
      <c r="V165" s="356">
        <f>43106491.5+125000000</f>
        <v>168106491.5</v>
      </c>
      <c r="W165" s="814"/>
      <c r="X165" s="822"/>
      <c r="Y165" s="822"/>
      <c r="Z165" s="822"/>
      <c r="AA165" s="814"/>
      <c r="AB165" s="822"/>
      <c r="AC165" s="822"/>
      <c r="AD165" s="822"/>
      <c r="AE165" s="822"/>
      <c r="AF165" s="822"/>
      <c r="AG165" s="823"/>
      <c r="AH165" s="825"/>
    </row>
    <row r="166" spans="1:92" ht="47.25" customHeight="1" x14ac:dyDescent="0.2">
      <c r="A166" s="808"/>
      <c r="B166" s="834"/>
      <c r="C166" s="827" t="s">
        <v>371</v>
      </c>
      <c r="D166" s="447"/>
      <c r="E166" s="820">
        <v>90</v>
      </c>
      <c r="F166" s="820">
        <v>90</v>
      </c>
      <c r="G166" s="820">
        <v>90</v>
      </c>
      <c r="H166" s="820">
        <v>90</v>
      </c>
      <c r="I166" s="820">
        <v>90</v>
      </c>
      <c r="J166" s="820">
        <v>90</v>
      </c>
      <c r="K166" s="820"/>
      <c r="L166" s="820"/>
      <c r="M166" s="820"/>
      <c r="N166" s="820"/>
      <c r="O166" s="820"/>
      <c r="P166" s="820"/>
      <c r="Q166" s="820"/>
      <c r="R166" s="820"/>
      <c r="S166" s="820"/>
      <c r="T166" s="820">
        <v>82.3</v>
      </c>
      <c r="U166" s="820"/>
      <c r="V166" s="820">
        <v>82.3</v>
      </c>
      <c r="W166" s="810" t="s">
        <v>289</v>
      </c>
      <c r="X166" s="448" t="s">
        <v>372</v>
      </c>
      <c r="Y166" s="448" t="s">
        <v>587</v>
      </c>
      <c r="Z166" s="448" t="s">
        <v>588</v>
      </c>
      <c r="AA166" s="449" t="s">
        <v>373</v>
      </c>
      <c r="AB166" s="448">
        <v>87635</v>
      </c>
      <c r="AC166" s="448">
        <v>89979</v>
      </c>
      <c r="AD166" s="448" t="s">
        <v>202</v>
      </c>
      <c r="AE166" s="448" t="s">
        <v>197</v>
      </c>
      <c r="AF166" s="448" t="s">
        <v>203</v>
      </c>
      <c r="AG166" s="450">
        <f>AB166+AC166</f>
        <v>177614</v>
      </c>
      <c r="AH166" s="825"/>
    </row>
    <row r="167" spans="1:92" ht="25.5" customHeight="1" x14ac:dyDescent="0.2">
      <c r="A167" s="808"/>
      <c r="B167" s="834"/>
      <c r="C167" s="828"/>
      <c r="D167" s="400" t="s">
        <v>34</v>
      </c>
      <c r="E167" s="821"/>
      <c r="F167" s="821"/>
      <c r="G167" s="821"/>
      <c r="H167" s="821"/>
      <c r="I167" s="821"/>
      <c r="J167" s="821"/>
      <c r="K167" s="821"/>
      <c r="L167" s="821"/>
      <c r="M167" s="821"/>
      <c r="N167" s="821"/>
      <c r="O167" s="821"/>
      <c r="P167" s="821"/>
      <c r="Q167" s="821"/>
      <c r="R167" s="821"/>
      <c r="S167" s="821"/>
      <c r="T167" s="821"/>
      <c r="U167" s="821"/>
      <c r="V167" s="821"/>
      <c r="W167" s="813"/>
      <c r="X167" s="810" t="s">
        <v>290</v>
      </c>
      <c r="Y167" s="810" t="s">
        <v>291</v>
      </c>
      <c r="Z167" s="810" t="s">
        <v>589</v>
      </c>
      <c r="AA167" s="810" t="s">
        <v>590</v>
      </c>
      <c r="AB167" s="810">
        <v>92927</v>
      </c>
      <c r="AC167" s="810">
        <v>96751</v>
      </c>
      <c r="AD167" s="810" t="s">
        <v>202</v>
      </c>
      <c r="AE167" s="810" t="s">
        <v>197</v>
      </c>
      <c r="AF167" s="810" t="s">
        <v>203</v>
      </c>
      <c r="AG167" s="815">
        <f>AB167+AC167</f>
        <v>189678</v>
      </c>
      <c r="AH167" s="825"/>
    </row>
    <row r="168" spans="1:92" ht="25.5" customHeight="1" x14ac:dyDescent="0.2">
      <c r="A168" s="808"/>
      <c r="B168" s="834"/>
      <c r="C168" s="828"/>
      <c r="D168" s="405" t="s">
        <v>36</v>
      </c>
      <c r="E168" s="355">
        <f t="shared" ref="E168:I168" si="70">600000000+301265500/2-250</f>
        <v>750632500</v>
      </c>
      <c r="F168" s="355">
        <f t="shared" si="70"/>
        <v>750632500</v>
      </c>
      <c r="G168" s="355">
        <f t="shared" si="70"/>
        <v>750632500</v>
      </c>
      <c r="H168" s="355">
        <f t="shared" si="70"/>
        <v>750632500</v>
      </c>
      <c r="I168" s="355">
        <f t="shared" si="70"/>
        <v>750632500</v>
      </c>
      <c r="J168" s="355">
        <v>750632500</v>
      </c>
      <c r="K168" s="384"/>
      <c r="L168" s="384"/>
      <c r="M168" s="384"/>
      <c r="N168" s="384"/>
      <c r="O168" s="384"/>
      <c r="P168" s="384"/>
      <c r="Q168" s="384"/>
      <c r="R168" s="384"/>
      <c r="S168" s="384"/>
      <c r="T168" s="356">
        <f>4116292*T166/135</f>
        <v>2509413.5674074073</v>
      </c>
      <c r="U168" s="385"/>
      <c r="V168" s="356">
        <f>39539743/140*V166</f>
        <v>23243720.349285711</v>
      </c>
      <c r="W168" s="813"/>
      <c r="X168" s="811"/>
      <c r="Y168" s="811"/>
      <c r="Z168" s="811"/>
      <c r="AA168" s="811"/>
      <c r="AB168" s="811"/>
      <c r="AC168" s="811"/>
      <c r="AD168" s="811"/>
      <c r="AE168" s="811"/>
      <c r="AF168" s="811"/>
      <c r="AG168" s="816"/>
      <c r="AH168" s="825"/>
    </row>
    <row r="169" spans="1:92" ht="25.5" customHeight="1" x14ac:dyDescent="0.2">
      <c r="A169" s="808"/>
      <c r="B169" s="834"/>
      <c r="C169" s="828"/>
      <c r="D169" s="405" t="s">
        <v>37</v>
      </c>
      <c r="E169" s="385"/>
      <c r="F169" s="385"/>
      <c r="G169" s="385"/>
      <c r="H169" s="385"/>
      <c r="I169" s="385"/>
      <c r="J169" s="385"/>
      <c r="K169" s="384"/>
      <c r="L169" s="384"/>
      <c r="M169" s="384"/>
      <c r="N169" s="384"/>
      <c r="O169" s="384"/>
      <c r="P169" s="384"/>
      <c r="Q169" s="384"/>
      <c r="R169" s="384"/>
      <c r="S169" s="384"/>
      <c r="T169" s="356"/>
      <c r="U169" s="385"/>
      <c r="V169" s="385"/>
      <c r="W169" s="813"/>
      <c r="X169" s="811"/>
      <c r="Y169" s="811"/>
      <c r="Z169" s="811"/>
      <c r="AA169" s="811"/>
      <c r="AB169" s="811"/>
      <c r="AC169" s="811"/>
      <c r="AD169" s="811"/>
      <c r="AE169" s="811"/>
      <c r="AF169" s="811"/>
      <c r="AG169" s="816"/>
      <c r="AH169" s="825"/>
    </row>
    <row r="170" spans="1:92" ht="25.5" customHeight="1" x14ac:dyDescent="0.2">
      <c r="A170" s="808"/>
      <c r="B170" s="834"/>
      <c r="C170" s="828"/>
      <c r="D170" s="818" t="s">
        <v>38</v>
      </c>
      <c r="E170" s="804">
        <f t="shared" ref="E170:I170" si="71">95690893/2+81092560</f>
        <v>128938006.5</v>
      </c>
      <c r="F170" s="804">
        <f t="shared" si="71"/>
        <v>128938006.5</v>
      </c>
      <c r="G170" s="804">
        <f t="shared" si="71"/>
        <v>128938006.5</v>
      </c>
      <c r="H170" s="804">
        <f t="shared" si="71"/>
        <v>128938006.5</v>
      </c>
      <c r="I170" s="804">
        <f t="shared" si="71"/>
        <v>128938006.5</v>
      </c>
      <c r="J170" s="804">
        <v>128938006.5</v>
      </c>
      <c r="K170" s="384"/>
      <c r="L170" s="384"/>
      <c r="M170" s="384"/>
      <c r="N170" s="384"/>
      <c r="O170" s="384"/>
      <c r="P170" s="384"/>
      <c r="Q170" s="384"/>
      <c r="R170" s="384"/>
      <c r="S170" s="384"/>
      <c r="T170" s="806">
        <f>27458770/2+40546280</f>
        <v>54275665</v>
      </c>
      <c r="U170" s="385"/>
      <c r="V170" s="806">
        <f>43106491.5+46935027</f>
        <v>90041518.5</v>
      </c>
      <c r="W170" s="813"/>
      <c r="X170" s="811"/>
      <c r="Y170" s="811"/>
      <c r="Z170" s="811"/>
      <c r="AA170" s="811"/>
      <c r="AB170" s="811"/>
      <c r="AC170" s="811"/>
      <c r="AD170" s="811"/>
      <c r="AE170" s="811"/>
      <c r="AF170" s="811"/>
      <c r="AG170" s="816"/>
      <c r="AH170" s="825"/>
    </row>
    <row r="171" spans="1:92" ht="25.5" customHeight="1" x14ac:dyDescent="0.2">
      <c r="A171" s="819"/>
      <c r="B171" s="834"/>
      <c r="C171" s="829"/>
      <c r="D171" s="819"/>
      <c r="E171" s="805"/>
      <c r="F171" s="805"/>
      <c r="G171" s="805"/>
      <c r="H171" s="805"/>
      <c r="I171" s="805"/>
      <c r="J171" s="805"/>
      <c r="K171" s="410"/>
      <c r="L171" s="410"/>
      <c r="M171" s="410"/>
      <c r="N171" s="410"/>
      <c r="O171" s="410"/>
      <c r="P171" s="410"/>
      <c r="Q171" s="410"/>
      <c r="R171" s="410"/>
      <c r="S171" s="410"/>
      <c r="T171" s="805"/>
      <c r="U171" s="412"/>
      <c r="V171" s="805"/>
      <c r="W171" s="813"/>
      <c r="X171" s="812"/>
      <c r="Y171" s="812"/>
      <c r="Z171" s="812"/>
      <c r="AA171" s="812"/>
      <c r="AB171" s="812"/>
      <c r="AC171" s="812"/>
      <c r="AD171" s="812"/>
      <c r="AE171" s="812"/>
      <c r="AF171" s="812"/>
      <c r="AG171" s="817"/>
      <c r="AH171" s="825"/>
    </row>
    <row r="172" spans="1:92" ht="25.5" customHeight="1" x14ac:dyDescent="0.2">
      <c r="A172" s="807"/>
      <c r="B172" s="834"/>
      <c r="C172" s="779" t="s">
        <v>337</v>
      </c>
      <c r="D172" s="400" t="s">
        <v>34</v>
      </c>
      <c r="E172" s="451">
        <f t="shared" ref="E172:U172" si="72">+E159+E166</f>
        <v>140</v>
      </c>
      <c r="F172" s="451">
        <f t="shared" si="72"/>
        <v>140</v>
      </c>
      <c r="G172" s="451">
        <f t="shared" si="72"/>
        <v>140</v>
      </c>
      <c r="H172" s="452">
        <f t="shared" si="72"/>
        <v>140</v>
      </c>
      <c r="I172" s="451">
        <f t="shared" si="72"/>
        <v>140</v>
      </c>
      <c r="J172" s="451">
        <v>140</v>
      </c>
      <c r="K172" s="451">
        <f t="shared" si="72"/>
        <v>0</v>
      </c>
      <c r="L172" s="451">
        <f t="shared" si="72"/>
        <v>0</v>
      </c>
      <c r="M172" s="451">
        <f t="shared" si="72"/>
        <v>0</v>
      </c>
      <c r="N172" s="451">
        <f t="shared" si="72"/>
        <v>0</v>
      </c>
      <c r="O172" s="451">
        <f t="shared" si="72"/>
        <v>0</v>
      </c>
      <c r="P172" s="451">
        <f t="shared" si="72"/>
        <v>0</v>
      </c>
      <c r="Q172" s="451">
        <f t="shared" si="72"/>
        <v>0</v>
      </c>
      <c r="R172" s="451">
        <f t="shared" si="72"/>
        <v>0</v>
      </c>
      <c r="S172" s="451">
        <f t="shared" si="72"/>
        <v>0</v>
      </c>
      <c r="T172" s="453">
        <f t="shared" si="72"/>
        <v>135</v>
      </c>
      <c r="U172" s="454">
        <f t="shared" si="72"/>
        <v>0</v>
      </c>
      <c r="V172" s="453">
        <f>+V159+V166</f>
        <v>140</v>
      </c>
      <c r="W172" s="813"/>
      <c r="X172" s="813"/>
      <c r="Y172" s="813"/>
      <c r="Z172" s="813"/>
      <c r="AA172" s="813"/>
      <c r="AB172" s="813"/>
      <c r="AC172" s="813"/>
      <c r="AD172" s="813"/>
      <c r="AE172" s="813"/>
      <c r="AF172" s="813"/>
      <c r="AG172" s="813"/>
      <c r="AH172" s="825"/>
    </row>
    <row r="173" spans="1:92" ht="25.5" customHeight="1" x14ac:dyDescent="0.2">
      <c r="A173" s="808"/>
      <c r="B173" s="834"/>
      <c r="C173" s="779"/>
      <c r="D173" s="405" t="s">
        <v>36</v>
      </c>
      <c r="E173" s="355">
        <f t="shared" ref="E173:I173" si="73">+E163+E168</f>
        <v>1101265000</v>
      </c>
      <c r="F173" s="355">
        <f t="shared" si="73"/>
        <v>1101265000</v>
      </c>
      <c r="G173" s="355">
        <f t="shared" si="73"/>
        <v>1101265000</v>
      </c>
      <c r="H173" s="355">
        <f t="shared" si="73"/>
        <v>1101265000</v>
      </c>
      <c r="I173" s="355">
        <f t="shared" si="73"/>
        <v>1101265000</v>
      </c>
      <c r="J173" s="355">
        <v>1101265000</v>
      </c>
      <c r="K173" s="384"/>
      <c r="L173" s="384"/>
      <c r="M173" s="384"/>
      <c r="N173" s="384"/>
      <c r="O173" s="384"/>
      <c r="P173" s="384"/>
      <c r="Q173" s="384"/>
      <c r="R173" s="384"/>
      <c r="S173" s="384"/>
      <c r="T173" s="356">
        <f>+T163+T168</f>
        <v>4116292</v>
      </c>
      <c r="U173" s="356">
        <f t="shared" ref="U173:V173" si="74">+U163+U168</f>
        <v>0</v>
      </c>
      <c r="V173" s="356">
        <f t="shared" si="74"/>
        <v>39539743</v>
      </c>
      <c r="W173" s="813"/>
      <c r="X173" s="813"/>
      <c r="Y173" s="813"/>
      <c r="Z173" s="813"/>
      <c r="AA173" s="813"/>
      <c r="AB173" s="813"/>
      <c r="AC173" s="813"/>
      <c r="AD173" s="813"/>
      <c r="AE173" s="813"/>
      <c r="AF173" s="813"/>
      <c r="AG173" s="813"/>
      <c r="AH173" s="825"/>
    </row>
    <row r="174" spans="1:92" ht="25.5" customHeight="1" x14ac:dyDescent="0.2">
      <c r="A174" s="808"/>
      <c r="B174" s="834"/>
      <c r="C174" s="779"/>
      <c r="D174" s="405" t="s">
        <v>37</v>
      </c>
      <c r="E174" s="385"/>
      <c r="F174" s="385"/>
      <c r="G174" s="385"/>
      <c r="H174" s="385"/>
      <c r="I174" s="385"/>
      <c r="J174" s="385"/>
      <c r="K174" s="384"/>
      <c r="L174" s="384"/>
      <c r="M174" s="384"/>
      <c r="N174" s="384"/>
      <c r="O174" s="384"/>
      <c r="P174" s="384"/>
      <c r="Q174" s="384"/>
      <c r="R174" s="384"/>
      <c r="S174" s="384"/>
      <c r="T174" s="356"/>
      <c r="U174" s="385"/>
      <c r="V174" s="385"/>
      <c r="W174" s="813"/>
      <c r="X174" s="813"/>
      <c r="Y174" s="813"/>
      <c r="Z174" s="813"/>
      <c r="AA174" s="813"/>
      <c r="AB174" s="813"/>
      <c r="AC174" s="813"/>
      <c r="AD174" s="813"/>
      <c r="AE174" s="813"/>
      <c r="AF174" s="813"/>
      <c r="AG174" s="813"/>
      <c r="AH174" s="825"/>
    </row>
    <row r="175" spans="1:92" ht="25.5" customHeight="1" x14ac:dyDescent="0.2">
      <c r="A175" s="809"/>
      <c r="B175" s="835"/>
      <c r="C175" s="779"/>
      <c r="D175" s="432" t="s">
        <v>38</v>
      </c>
      <c r="E175" s="355">
        <f t="shared" ref="E175:I175" si="75">+E170+E165</f>
        <v>401783453</v>
      </c>
      <c r="F175" s="355">
        <f t="shared" si="75"/>
        <v>401783453</v>
      </c>
      <c r="G175" s="355">
        <f t="shared" si="75"/>
        <v>401783453</v>
      </c>
      <c r="H175" s="355">
        <f t="shared" si="75"/>
        <v>401783453</v>
      </c>
      <c r="I175" s="385">
        <f t="shared" si="75"/>
        <v>401783453</v>
      </c>
      <c r="J175" s="355">
        <v>401783453</v>
      </c>
      <c r="K175" s="384"/>
      <c r="L175" s="384"/>
      <c r="M175" s="384"/>
      <c r="N175" s="384"/>
      <c r="O175" s="384"/>
      <c r="P175" s="384"/>
      <c r="Q175" s="384"/>
      <c r="R175" s="384"/>
      <c r="S175" s="384"/>
      <c r="T175" s="356">
        <f>+T170+T165</f>
        <v>118005050</v>
      </c>
      <c r="U175" s="356">
        <f t="shared" ref="U175:V175" si="76">+U170+U165</f>
        <v>0</v>
      </c>
      <c r="V175" s="356">
        <f t="shared" si="76"/>
        <v>258148010</v>
      </c>
      <c r="W175" s="814"/>
      <c r="X175" s="814"/>
      <c r="Y175" s="814"/>
      <c r="Z175" s="814"/>
      <c r="AA175" s="814"/>
      <c r="AB175" s="814"/>
      <c r="AC175" s="814"/>
      <c r="AD175" s="814"/>
      <c r="AE175" s="814"/>
      <c r="AF175" s="814"/>
      <c r="AG175" s="814"/>
      <c r="AH175" s="826"/>
    </row>
    <row r="176" spans="1:92" s="458" customFormat="1" ht="30.75" customHeight="1" x14ac:dyDescent="0.2">
      <c r="A176" s="783">
        <v>14</v>
      </c>
      <c r="B176" s="784" t="s">
        <v>161</v>
      </c>
      <c r="C176" s="781" t="s">
        <v>292</v>
      </c>
      <c r="D176" s="400" t="s">
        <v>34</v>
      </c>
      <c r="E176" s="451">
        <v>3</v>
      </c>
      <c r="F176" s="451">
        <v>3</v>
      </c>
      <c r="G176" s="451">
        <v>3</v>
      </c>
      <c r="H176" s="452">
        <v>3</v>
      </c>
      <c r="I176" s="451">
        <v>3</v>
      </c>
      <c r="J176" s="451">
        <v>3</v>
      </c>
      <c r="K176" s="451"/>
      <c r="L176" s="451"/>
      <c r="M176" s="451"/>
      <c r="N176" s="451"/>
      <c r="O176" s="451"/>
      <c r="P176" s="451"/>
      <c r="Q176" s="451"/>
      <c r="R176" s="451">
        <v>3</v>
      </c>
      <c r="S176" s="451">
        <v>3</v>
      </c>
      <c r="T176" s="453">
        <v>3</v>
      </c>
      <c r="U176" s="454"/>
      <c r="V176" s="453">
        <v>3</v>
      </c>
      <c r="W176" s="799" t="s">
        <v>293</v>
      </c>
      <c r="X176" s="799" t="s">
        <v>294</v>
      </c>
      <c r="Y176" s="799"/>
      <c r="Z176" s="799" t="s">
        <v>394</v>
      </c>
      <c r="AA176" s="799" t="s">
        <v>258</v>
      </c>
      <c r="AB176" s="799">
        <v>179377</v>
      </c>
      <c r="AC176" s="799">
        <v>186695</v>
      </c>
      <c r="AD176" s="799" t="s">
        <v>202</v>
      </c>
      <c r="AE176" s="799" t="s">
        <v>197</v>
      </c>
      <c r="AF176" s="799" t="s">
        <v>203</v>
      </c>
      <c r="AG176" s="799">
        <v>366072</v>
      </c>
      <c r="AH176" s="802"/>
      <c r="AI176" s="455"/>
      <c r="AJ176" s="455"/>
      <c r="AK176" s="456"/>
      <c r="AL176" s="456"/>
      <c r="AM176" s="456"/>
      <c r="AN176" s="456"/>
      <c r="AO176" s="456"/>
      <c r="AP176" s="456"/>
      <c r="AQ176" s="456"/>
      <c r="AR176" s="456"/>
      <c r="AS176" s="456"/>
      <c r="AT176" s="457"/>
      <c r="AU176" s="457"/>
      <c r="AV176" s="457"/>
      <c r="AW176" s="455"/>
      <c r="AX176" s="455"/>
      <c r="AY176" s="455"/>
      <c r="AZ176" s="455"/>
      <c r="BA176" s="455"/>
      <c r="BB176" s="455"/>
      <c r="BC176" s="455"/>
      <c r="BD176" s="455"/>
      <c r="BE176" s="455"/>
      <c r="BF176" s="455"/>
      <c r="BG176" s="455"/>
      <c r="BH176" s="455"/>
      <c r="BI176" s="455"/>
      <c r="BJ176" s="455"/>
      <c r="BK176" s="455"/>
      <c r="BL176" s="455"/>
      <c r="BM176" s="455"/>
      <c r="BN176" s="455"/>
      <c r="BO176" s="455"/>
      <c r="BP176" s="455"/>
      <c r="BQ176" s="455"/>
      <c r="BR176" s="455"/>
      <c r="BS176" s="455"/>
      <c r="BT176" s="455"/>
      <c r="BU176" s="455"/>
      <c r="BV176" s="455"/>
      <c r="BW176" s="455"/>
      <c r="BX176" s="455"/>
      <c r="BY176" s="455"/>
      <c r="BZ176" s="455"/>
      <c r="CA176" s="455"/>
      <c r="CB176" s="455"/>
      <c r="CC176" s="455"/>
      <c r="CD176" s="455"/>
      <c r="CE176" s="455"/>
      <c r="CF176" s="455"/>
      <c r="CG176" s="455"/>
      <c r="CH176" s="455"/>
      <c r="CI176" s="455"/>
      <c r="CJ176" s="455"/>
      <c r="CK176" s="455"/>
      <c r="CL176" s="455"/>
      <c r="CM176" s="455"/>
      <c r="CN176" s="455"/>
    </row>
    <row r="177" spans="1:92" s="458" customFormat="1" ht="30.75" customHeight="1" x14ac:dyDescent="0.2">
      <c r="A177" s="783"/>
      <c r="B177" s="784"/>
      <c r="C177" s="781"/>
      <c r="D177" s="405" t="s">
        <v>36</v>
      </c>
      <c r="E177" s="355">
        <v>369601000</v>
      </c>
      <c r="F177" s="355">
        <v>369601000</v>
      </c>
      <c r="G177" s="355">
        <v>369601000</v>
      </c>
      <c r="H177" s="355">
        <v>369601000</v>
      </c>
      <c r="I177" s="355">
        <v>369601000</v>
      </c>
      <c r="J177" s="355">
        <v>369601000</v>
      </c>
      <c r="K177" s="384"/>
      <c r="L177" s="384"/>
      <c r="M177" s="384"/>
      <c r="N177" s="384"/>
      <c r="O177" s="384"/>
      <c r="P177" s="384"/>
      <c r="Q177" s="384"/>
      <c r="R177" s="384"/>
      <c r="S177" s="384"/>
      <c r="T177" s="366">
        <v>34012454</v>
      </c>
      <c r="U177" s="385"/>
      <c r="V177" s="366">
        <v>34012454</v>
      </c>
      <c r="W177" s="800"/>
      <c r="X177" s="800"/>
      <c r="Y177" s="800"/>
      <c r="Z177" s="800"/>
      <c r="AA177" s="800"/>
      <c r="AB177" s="800"/>
      <c r="AC177" s="800"/>
      <c r="AD177" s="800"/>
      <c r="AE177" s="800"/>
      <c r="AF177" s="800"/>
      <c r="AG177" s="800"/>
      <c r="AH177" s="802"/>
      <c r="AI177" s="455"/>
      <c r="AJ177" s="455"/>
      <c r="AK177" s="456"/>
      <c r="AL177" s="456"/>
      <c r="AM177" s="456"/>
      <c r="AN177" s="456"/>
      <c r="AO177" s="456"/>
      <c r="AP177" s="456"/>
      <c r="AQ177" s="456"/>
      <c r="AR177" s="456"/>
      <c r="AS177" s="456"/>
      <c r="AT177" s="457"/>
      <c r="AU177" s="457"/>
      <c r="AV177" s="457"/>
      <c r="AW177" s="455"/>
      <c r="AX177" s="455"/>
      <c r="AY177" s="455"/>
      <c r="AZ177" s="455"/>
      <c r="BA177" s="455"/>
      <c r="BB177" s="455"/>
      <c r="BC177" s="455"/>
      <c r="BD177" s="455"/>
      <c r="BE177" s="455"/>
      <c r="BF177" s="455"/>
      <c r="BG177" s="455"/>
      <c r="BH177" s="455"/>
      <c r="BI177" s="455"/>
      <c r="BJ177" s="455"/>
      <c r="BK177" s="455"/>
      <c r="BL177" s="455"/>
      <c r="BM177" s="455"/>
      <c r="BN177" s="455"/>
      <c r="BO177" s="455"/>
      <c r="BP177" s="455"/>
      <c r="BQ177" s="455"/>
      <c r="BR177" s="455"/>
      <c r="BS177" s="455"/>
      <c r="BT177" s="455"/>
      <c r="BU177" s="455"/>
      <c r="BV177" s="455"/>
      <c r="BW177" s="455"/>
      <c r="BX177" s="455"/>
      <c r="BY177" s="455"/>
      <c r="BZ177" s="455"/>
      <c r="CA177" s="455"/>
      <c r="CB177" s="455"/>
      <c r="CC177" s="455"/>
      <c r="CD177" s="455"/>
      <c r="CE177" s="455"/>
      <c r="CF177" s="455"/>
      <c r="CG177" s="455"/>
      <c r="CH177" s="455"/>
      <c r="CI177" s="455"/>
      <c r="CJ177" s="455"/>
      <c r="CK177" s="455"/>
      <c r="CL177" s="455"/>
      <c r="CM177" s="455"/>
      <c r="CN177" s="455"/>
    </row>
    <row r="178" spans="1:92" s="458" customFormat="1" ht="30.75" customHeight="1" x14ac:dyDescent="0.2">
      <c r="A178" s="783"/>
      <c r="B178" s="784"/>
      <c r="C178" s="781"/>
      <c r="D178" s="405" t="s">
        <v>37</v>
      </c>
      <c r="E178" s="357"/>
      <c r="F178" s="357"/>
      <c r="G178" s="357"/>
      <c r="H178" s="357"/>
      <c r="I178" s="357"/>
      <c r="J178" s="357"/>
      <c r="K178" s="384"/>
      <c r="L178" s="384"/>
      <c r="M178" s="384"/>
      <c r="N178" s="384"/>
      <c r="O178" s="384"/>
      <c r="P178" s="384"/>
      <c r="Q178" s="384"/>
      <c r="R178" s="384"/>
      <c r="S178" s="384"/>
      <c r="T178" s="366"/>
      <c r="U178" s="385"/>
      <c r="V178" s="366"/>
      <c r="W178" s="800"/>
      <c r="X178" s="800"/>
      <c r="Y178" s="800"/>
      <c r="Z178" s="800"/>
      <c r="AA178" s="800"/>
      <c r="AB178" s="800"/>
      <c r="AC178" s="800"/>
      <c r="AD178" s="800"/>
      <c r="AE178" s="800"/>
      <c r="AF178" s="800"/>
      <c r="AG178" s="800"/>
      <c r="AH178" s="802"/>
      <c r="AI178" s="455"/>
      <c r="AJ178" s="455"/>
      <c r="AK178" s="456"/>
      <c r="AL178" s="456"/>
      <c r="AM178" s="456"/>
      <c r="AN178" s="456"/>
      <c r="AO178" s="456"/>
      <c r="AP178" s="456"/>
      <c r="AQ178" s="456"/>
      <c r="AR178" s="456"/>
      <c r="AS178" s="456"/>
      <c r="AT178" s="457"/>
      <c r="AU178" s="457"/>
      <c r="AV178" s="457"/>
      <c r="AW178" s="455"/>
      <c r="AX178" s="455"/>
      <c r="AY178" s="455"/>
      <c r="AZ178" s="455"/>
      <c r="BA178" s="455"/>
      <c r="BB178" s="455"/>
      <c r="BC178" s="455"/>
      <c r="BD178" s="455"/>
      <c r="BE178" s="455"/>
      <c r="BF178" s="455"/>
      <c r="BG178" s="455"/>
      <c r="BH178" s="455"/>
      <c r="BI178" s="455"/>
      <c r="BJ178" s="455"/>
      <c r="BK178" s="455"/>
      <c r="BL178" s="455"/>
      <c r="BM178" s="455"/>
      <c r="BN178" s="455"/>
      <c r="BO178" s="455"/>
      <c r="BP178" s="455"/>
      <c r="BQ178" s="455"/>
      <c r="BR178" s="455"/>
      <c r="BS178" s="455"/>
      <c r="BT178" s="455"/>
      <c r="BU178" s="455"/>
      <c r="BV178" s="455"/>
      <c r="BW178" s="455"/>
      <c r="BX178" s="455"/>
      <c r="BY178" s="455"/>
      <c r="BZ178" s="455"/>
      <c r="CA178" s="455"/>
      <c r="CB178" s="455"/>
      <c r="CC178" s="455"/>
      <c r="CD178" s="455"/>
      <c r="CE178" s="455"/>
      <c r="CF178" s="455"/>
      <c r="CG178" s="455"/>
      <c r="CH178" s="455"/>
      <c r="CI178" s="455"/>
      <c r="CJ178" s="455"/>
      <c r="CK178" s="455"/>
      <c r="CL178" s="455"/>
      <c r="CM178" s="455"/>
      <c r="CN178" s="455"/>
    </row>
    <row r="179" spans="1:92" s="458" customFormat="1" ht="30.75" customHeight="1" x14ac:dyDescent="0.2">
      <c r="A179" s="783"/>
      <c r="B179" s="784"/>
      <c r="C179" s="803"/>
      <c r="D179" s="368" t="s">
        <v>38</v>
      </c>
      <c r="E179" s="359">
        <v>114081259</v>
      </c>
      <c r="F179" s="359">
        <v>114081259</v>
      </c>
      <c r="G179" s="359">
        <v>114081259</v>
      </c>
      <c r="H179" s="359">
        <v>114081259</v>
      </c>
      <c r="I179" s="359">
        <v>114081259</v>
      </c>
      <c r="J179" s="359">
        <v>114081259</v>
      </c>
      <c r="K179" s="410"/>
      <c r="L179" s="410"/>
      <c r="M179" s="410"/>
      <c r="N179" s="410"/>
      <c r="O179" s="410"/>
      <c r="P179" s="410"/>
      <c r="Q179" s="410"/>
      <c r="R179" s="410"/>
      <c r="S179" s="410"/>
      <c r="T179" s="425">
        <v>96081259</v>
      </c>
      <c r="U179" s="412"/>
      <c r="V179" s="425">
        <v>114081259</v>
      </c>
      <c r="W179" s="801"/>
      <c r="X179" s="801"/>
      <c r="Y179" s="801"/>
      <c r="Z179" s="801"/>
      <c r="AA179" s="801"/>
      <c r="AB179" s="801"/>
      <c r="AC179" s="801"/>
      <c r="AD179" s="801"/>
      <c r="AE179" s="801"/>
      <c r="AF179" s="801"/>
      <c r="AG179" s="801"/>
      <c r="AH179" s="802"/>
      <c r="AI179" s="455"/>
      <c r="AJ179" s="455"/>
      <c r="AK179" s="456"/>
      <c r="AL179" s="456"/>
      <c r="AM179" s="456"/>
      <c r="AN179" s="456"/>
      <c r="AO179" s="456"/>
      <c r="AP179" s="456"/>
      <c r="AQ179" s="456"/>
      <c r="AR179" s="456"/>
      <c r="AS179" s="456"/>
      <c r="AT179" s="457"/>
      <c r="AU179" s="457"/>
      <c r="AV179" s="457"/>
      <c r="AW179" s="455"/>
      <c r="AX179" s="455"/>
      <c r="AY179" s="455"/>
      <c r="AZ179" s="455"/>
      <c r="BA179" s="455"/>
      <c r="BB179" s="455"/>
      <c r="BC179" s="455"/>
      <c r="BD179" s="455"/>
      <c r="BE179" s="455"/>
      <c r="BF179" s="455"/>
      <c r="BG179" s="455"/>
      <c r="BH179" s="455"/>
      <c r="BI179" s="455"/>
      <c r="BJ179" s="455"/>
      <c r="BK179" s="455"/>
      <c r="BL179" s="455"/>
      <c r="BM179" s="455"/>
      <c r="BN179" s="455"/>
      <c r="BO179" s="455"/>
      <c r="BP179" s="455"/>
      <c r="BQ179" s="455"/>
      <c r="BR179" s="455"/>
      <c r="BS179" s="455"/>
      <c r="BT179" s="455"/>
      <c r="BU179" s="455"/>
      <c r="BV179" s="455"/>
      <c r="BW179" s="455"/>
      <c r="BX179" s="455"/>
      <c r="BY179" s="455"/>
      <c r="BZ179" s="455"/>
      <c r="CA179" s="455"/>
      <c r="CB179" s="455"/>
      <c r="CC179" s="455"/>
      <c r="CD179" s="455"/>
      <c r="CE179" s="455"/>
      <c r="CF179" s="455"/>
      <c r="CG179" s="455"/>
      <c r="CH179" s="455"/>
      <c r="CI179" s="455"/>
      <c r="CJ179" s="455"/>
      <c r="CK179" s="455"/>
      <c r="CL179" s="455"/>
      <c r="CM179" s="455"/>
      <c r="CN179" s="455"/>
    </row>
    <row r="180" spans="1:92" ht="25.5" customHeight="1" x14ac:dyDescent="0.2">
      <c r="A180" s="783">
        <v>15</v>
      </c>
      <c r="B180" s="784" t="s">
        <v>162</v>
      </c>
      <c r="C180" s="784" t="s">
        <v>298</v>
      </c>
      <c r="D180" s="400" t="s">
        <v>34</v>
      </c>
      <c r="E180" s="451">
        <v>95</v>
      </c>
      <c r="F180" s="451">
        <v>95</v>
      </c>
      <c r="G180" s="451">
        <v>95</v>
      </c>
      <c r="H180" s="452">
        <v>95</v>
      </c>
      <c r="I180" s="451">
        <v>95</v>
      </c>
      <c r="J180" s="451">
        <v>95</v>
      </c>
      <c r="K180" s="451"/>
      <c r="L180" s="451"/>
      <c r="M180" s="451"/>
      <c r="N180" s="451"/>
      <c r="O180" s="451"/>
      <c r="P180" s="451"/>
      <c r="Q180" s="451"/>
      <c r="R180" s="451">
        <v>94.4</v>
      </c>
      <c r="S180" s="451">
        <v>94.6</v>
      </c>
      <c r="T180" s="453">
        <v>94.6</v>
      </c>
      <c r="U180" s="454"/>
      <c r="V180" s="453">
        <v>95</v>
      </c>
      <c r="W180" s="791" t="s">
        <v>295</v>
      </c>
      <c r="X180" s="791" t="s">
        <v>295</v>
      </c>
      <c r="Y180" s="791" t="s">
        <v>198</v>
      </c>
      <c r="Z180" s="791" t="s">
        <v>296</v>
      </c>
      <c r="AA180" s="791" t="s">
        <v>297</v>
      </c>
      <c r="AB180" s="791">
        <v>3758224</v>
      </c>
      <c r="AC180" s="791">
        <v>4018621</v>
      </c>
      <c r="AD180" s="791" t="s">
        <v>202</v>
      </c>
      <c r="AE180" s="791" t="s">
        <v>197</v>
      </c>
      <c r="AF180" s="791" t="s">
        <v>203</v>
      </c>
      <c r="AG180" s="791">
        <v>7776845</v>
      </c>
      <c r="AH180" s="775"/>
    </row>
    <row r="181" spans="1:92" ht="25.5" customHeight="1" x14ac:dyDescent="0.2">
      <c r="A181" s="783"/>
      <c r="B181" s="784"/>
      <c r="C181" s="784"/>
      <c r="D181" s="405" t="s">
        <v>36</v>
      </c>
      <c r="E181" s="355">
        <v>335567000</v>
      </c>
      <c r="F181" s="355">
        <v>335567000</v>
      </c>
      <c r="G181" s="355">
        <v>335567000</v>
      </c>
      <c r="H181" s="355">
        <v>335567000</v>
      </c>
      <c r="I181" s="355">
        <v>335567000</v>
      </c>
      <c r="J181" s="355">
        <v>335567000</v>
      </c>
      <c r="K181" s="384"/>
      <c r="L181" s="384"/>
      <c r="M181" s="384"/>
      <c r="N181" s="384"/>
      <c r="O181" s="384"/>
      <c r="P181" s="384"/>
      <c r="Q181" s="384"/>
      <c r="R181" s="384"/>
      <c r="S181" s="384"/>
      <c r="T181" s="366">
        <v>34458057</v>
      </c>
      <c r="U181" s="385"/>
      <c r="V181" s="366">
        <v>48758989</v>
      </c>
      <c r="W181" s="792"/>
      <c r="X181" s="792"/>
      <c r="Y181" s="792"/>
      <c r="Z181" s="792"/>
      <c r="AA181" s="792"/>
      <c r="AB181" s="792"/>
      <c r="AC181" s="792"/>
      <c r="AD181" s="792"/>
      <c r="AE181" s="792"/>
      <c r="AF181" s="792"/>
      <c r="AG181" s="792"/>
      <c r="AH181" s="775"/>
    </row>
    <row r="182" spans="1:92" ht="25.5" customHeight="1" x14ac:dyDescent="0.2">
      <c r="A182" s="783"/>
      <c r="B182" s="784"/>
      <c r="C182" s="784"/>
      <c r="D182" s="405" t="s">
        <v>37</v>
      </c>
      <c r="E182" s="453"/>
      <c r="F182" s="453"/>
      <c r="G182" s="453"/>
      <c r="H182" s="453"/>
      <c r="I182" s="453"/>
      <c r="J182" s="453"/>
      <c r="K182" s="384"/>
      <c r="L182" s="384"/>
      <c r="M182" s="384"/>
      <c r="N182" s="384"/>
      <c r="O182" s="384"/>
      <c r="P182" s="384"/>
      <c r="Q182" s="384"/>
      <c r="R182" s="384"/>
      <c r="S182" s="384"/>
      <c r="T182" s="459"/>
      <c r="U182" s="385"/>
      <c r="V182" s="385"/>
      <c r="W182" s="792"/>
      <c r="X182" s="792"/>
      <c r="Y182" s="792"/>
      <c r="Z182" s="792"/>
      <c r="AA182" s="792"/>
      <c r="AB182" s="792"/>
      <c r="AC182" s="792"/>
      <c r="AD182" s="792"/>
      <c r="AE182" s="792"/>
      <c r="AF182" s="792"/>
      <c r="AG182" s="792"/>
      <c r="AH182" s="775"/>
    </row>
    <row r="183" spans="1:92" ht="25.5" customHeight="1" x14ac:dyDescent="0.2">
      <c r="A183" s="783"/>
      <c r="B183" s="784"/>
      <c r="C183" s="784"/>
      <c r="D183" s="409" t="s">
        <v>38</v>
      </c>
      <c r="E183" s="359">
        <v>130356845</v>
      </c>
      <c r="F183" s="359">
        <v>130356845</v>
      </c>
      <c r="G183" s="359">
        <v>130356845</v>
      </c>
      <c r="H183" s="359">
        <v>130356845</v>
      </c>
      <c r="I183" s="359">
        <v>130356845</v>
      </c>
      <c r="J183" s="359">
        <v>130356845</v>
      </c>
      <c r="K183" s="384"/>
      <c r="L183" s="384"/>
      <c r="M183" s="384"/>
      <c r="N183" s="384"/>
      <c r="O183" s="384"/>
      <c r="P183" s="384"/>
      <c r="Q183" s="384"/>
      <c r="R183" s="384"/>
      <c r="S183" s="384"/>
      <c r="T183" s="366">
        <v>56332444</v>
      </c>
      <c r="U183" s="385"/>
      <c r="V183" s="366">
        <v>34058695</v>
      </c>
      <c r="W183" s="793"/>
      <c r="X183" s="793"/>
      <c r="Y183" s="793"/>
      <c r="Z183" s="793"/>
      <c r="AA183" s="793"/>
      <c r="AB183" s="793"/>
      <c r="AC183" s="793"/>
      <c r="AD183" s="793"/>
      <c r="AE183" s="793"/>
      <c r="AF183" s="793"/>
      <c r="AG183" s="793"/>
      <c r="AH183" s="775"/>
    </row>
    <row r="184" spans="1:92" x14ac:dyDescent="0.2">
      <c r="A184" s="783">
        <v>16</v>
      </c>
      <c r="B184" s="784" t="s">
        <v>163</v>
      </c>
      <c r="C184" s="781" t="s">
        <v>299</v>
      </c>
      <c r="D184" s="400" t="s">
        <v>34</v>
      </c>
      <c r="E184" s="460">
        <v>212</v>
      </c>
      <c r="F184" s="384"/>
      <c r="G184" s="384"/>
      <c r="H184" s="461"/>
      <c r="I184" s="384"/>
      <c r="J184" s="460">
        <v>212</v>
      </c>
      <c r="K184" s="384"/>
      <c r="L184" s="384"/>
      <c r="M184" s="384"/>
      <c r="N184" s="384"/>
      <c r="O184" s="384"/>
      <c r="P184" s="384"/>
      <c r="Q184" s="384"/>
      <c r="R184" s="384"/>
      <c r="S184" s="384"/>
      <c r="T184" s="460">
        <v>212</v>
      </c>
      <c r="U184" s="385"/>
      <c r="V184" s="460">
        <v>217</v>
      </c>
      <c r="W184" s="791" t="s">
        <v>302</v>
      </c>
      <c r="X184" s="791"/>
      <c r="Y184" s="791" t="s">
        <v>306</v>
      </c>
      <c r="Z184" s="791" t="s">
        <v>362</v>
      </c>
      <c r="AA184" s="791" t="s">
        <v>304</v>
      </c>
      <c r="AB184" s="791">
        <v>161</v>
      </c>
      <c r="AC184" s="791">
        <v>89</v>
      </c>
      <c r="AD184" s="791" t="s">
        <v>202</v>
      </c>
      <c r="AE184" s="791" t="s">
        <v>197</v>
      </c>
      <c r="AF184" s="791" t="s">
        <v>203</v>
      </c>
      <c r="AG184" s="791">
        <v>250</v>
      </c>
      <c r="AH184" s="775"/>
    </row>
    <row r="185" spans="1:92" x14ac:dyDescent="0.2">
      <c r="A185" s="783"/>
      <c r="B185" s="784"/>
      <c r="C185" s="781"/>
      <c r="D185" s="405" t="s">
        <v>36</v>
      </c>
      <c r="E185" s="355">
        <f>562600000/500*E184</f>
        <v>238542400</v>
      </c>
      <c r="F185" s="384"/>
      <c r="G185" s="384"/>
      <c r="H185" s="461"/>
      <c r="I185" s="384"/>
      <c r="J185" s="355">
        <v>238542400</v>
      </c>
      <c r="K185" s="384"/>
      <c r="L185" s="384"/>
      <c r="M185" s="384"/>
      <c r="N185" s="384"/>
      <c r="O185" s="384"/>
      <c r="P185" s="384"/>
      <c r="Q185" s="384"/>
      <c r="R185" s="384"/>
      <c r="S185" s="384"/>
      <c r="T185" s="366">
        <f>22957876*T184/467</f>
        <v>10421990.817987151</v>
      </c>
      <c r="U185" s="385"/>
      <c r="V185" s="366">
        <f>93682775/500*V184</f>
        <v>40658324.349999994</v>
      </c>
      <c r="W185" s="792"/>
      <c r="X185" s="792"/>
      <c r="Y185" s="792"/>
      <c r="Z185" s="792"/>
      <c r="AA185" s="792"/>
      <c r="AB185" s="792">
        <v>161</v>
      </c>
      <c r="AC185" s="792">
        <v>89</v>
      </c>
      <c r="AD185" s="792"/>
      <c r="AE185" s="792"/>
      <c r="AF185" s="792"/>
      <c r="AG185" s="792"/>
      <c r="AH185" s="775"/>
    </row>
    <row r="186" spans="1:92" x14ac:dyDescent="0.2">
      <c r="A186" s="783"/>
      <c r="B186" s="784"/>
      <c r="C186" s="781"/>
      <c r="D186" s="405" t="s">
        <v>37</v>
      </c>
      <c r="E186" s="132"/>
      <c r="F186" s="384"/>
      <c r="G186" s="384"/>
      <c r="H186" s="461"/>
      <c r="I186" s="384"/>
      <c r="J186" s="132"/>
      <c r="K186" s="384"/>
      <c r="L186" s="384"/>
      <c r="M186" s="384"/>
      <c r="N186" s="384"/>
      <c r="O186" s="384"/>
      <c r="P186" s="384"/>
      <c r="Q186" s="384"/>
      <c r="R186" s="384"/>
      <c r="S186" s="384"/>
      <c r="T186" s="386"/>
      <c r="U186" s="385"/>
      <c r="V186" s="385"/>
      <c r="W186" s="792"/>
      <c r="X186" s="792"/>
      <c r="Y186" s="792"/>
      <c r="Z186" s="792"/>
      <c r="AA186" s="792"/>
      <c r="AB186" s="792">
        <v>161</v>
      </c>
      <c r="AC186" s="792">
        <v>89</v>
      </c>
      <c r="AD186" s="792"/>
      <c r="AE186" s="792"/>
      <c r="AF186" s="792"/>
      <c r="AG186" s="792"/>
      <c r="AH186" s="775"/>
    </row>
    <row r="187" spans="1:92" ht="22.5" x14ac:dyDescent="0.2">
      <c r="A187" s="783"/>
      <c r="B187" s="784"/>
      <c r="C187" s="781"/>
      <c r="D187" s="409" t="s">
        <v>38</v>
      </c>
      <c r="E187" s="359">
        <f>396174434/500*E184</f>
        <v>167977960.016</v>
      </c>
      <c r="F187" s="384"/>
      <c r="G187" s="384"/>
      <c r="H187" s="461"/>
      <c r="I187" s="384"/>
      <c r="J187" s="359">
        <v>167977960.016</v>
      </c>
      <c r="K187" s="384"/>
      <c r="L187" s="384"/>
      <c r="M187" s="384"/>
      <c r="N187" s="384"/>
      <c r="O187" s="384"/>
      <c r="P187" s="384"/>
      <c r="Q187" s="384"/>
      <c r="R187" s="384"/>
      <c r="S187" s="384"/>
      <c r="T187" s="366">
        <f>46198396*T184/467</f>
        <v>20972291.117773019</v>
      </c>
      <c r="U187" s="385"/>
      <c r="V187" s="366">
        <f>258651982*V184/500</f>
        <v>112254960.18799999</v>
      </c>
      <c r="W187" s="793"/>
      <c r="X187" s="793"/>
      <c r="Y187" s="793"/>
      <c r="Z187" s="793"/>
      <c r="AA187" s="793"/>
      <c r="AB187" s="793">
        <v>161</v>
      </c>
      <c r="AC187" s="793">
        <v>89</v>
      </c>
      <c r="AD187" s="793"/>
      <c r="AE187" s="793"/>
      <c r="AF187" s="793"/>
      <c r="AG187" s="793"/>
      <c r="AH187" s="775"/>
    </row>
    <row r="188" spans="1:92" x14ac:dyDescent="0.2">
      <c r="A188" s="783"/>
      <c r="B188" s="784"/>
      <c r="C188" s="781" t="s">
        <v>300</v>
      </c>
      <c r="D188" s="400" t="s">
        <v>34</v>
      </c>
      <c r="E188" s="462">
        <v>210</v>
      </c>
      <c r="F188" s="463"/>
      <c r="G188" s="463"/>
      <c r="H188" s="463"/>
      <c r="I188" s="463"/>
      <c r="J188" s="462">
        <v>210</v>
      </c>
      <c r="K188" s="463"/>
      <c r="L188" s="463"/>
      <c r="M188" s="463"/>
      <c r="N188" s="463"/>
      <c r="O188" s="463"/>
      <c r="P188" s="463"/>
      <c r="Q188" s="463"/>
      <c r="R188" s="463"/>
      <c r="S188" s="463"/>
      <c r="T188" s="462">
        <v>185</v>
      </c>
      <c r="U188" s="463"/>
      <c r="V188" s="462">
        <v>206</v>
      </c>
      <c r="W188" s="791" t="s">
        <v>272</v>
      </c>
      <c r="X188" s="791"/>
      <c r="Y188" s="791" t="s">
        <v>307</v>
      </c>
      <c r="Z188" s="791" t="s">
        <v>363</v>
      </c>
      <c r="AA188" s="791" t="s">
        <v>304</v>
      </c>
      <c r="AB188" s="791">
        <v>139</v>
      </c>
      <c r="AC188" s="791">
        <v>83</v>
      </c>
      <c r="AD188" s="791" t="s">
        <v>202</v>
      </c>
      <c r="AE188" s="791" t="s">
        <v>197</v>
      </c>
      <c r="AF188" s="791" t="s">
        <v>203</v>
      </c>
      <c r="AG188" s="791">
        <v>222</v>
      </c>
      <c r="AH188" s="775"/>
    </row>
    <row r="189" spans="1:92" x14ac:dyDescent="0.2">
      <c r="A189" s="783"/>
      <c r="B189" s="784"/>
      <c r="C189" s="781"/>
      <c r="D189" s="405" t="s">
        <v>36</v>
      </c>
      <c r="E189" s="355">
        <f>562600000/500*E188</f>
        <v>236292000</v>
      </c>
      <c r="F189" s="384"/>
      <c r="G189" s="384"/>
      <c r="H189" s="461"/>
      <c r="I189" s="384"/>
      <c r="J189" s="355">
        <v>236292000</v>
      </c>
      <c r="K189" s="384"/>
      <c r="L189" s="384"/>
      <c r="M189" s="384"/>
      <c r="N189" s="384"/>
      <c r="O189" s="384"/>
      <c r="P189" s="384"/>
      <c r="Q189" s="384"/>
      <c r="R189" s="384"/>
      <c r="S189" s="384"/>
      <c r="T189" s="366">
        <f>22957876*T188/467</f>
        <v>9094661.798715204</v>
      </c>
      <c r="U189" s="385"/>
      <c r="V189" s="366">
        <f>93682775/500*V188</f>
        <v>38597303.299999997</v>
      </c>
      <c r="W189" s="792"/>
      <c r="X189" s="792"/>
      <c r="Y189" s="792"/>
      <c r="Z189" s="792"/>
      <c r="AA189" s="792"/>
      <c r="AB189" s="792">
        <v>139</v>
      </c>
      <c r="AC189" s="792">
        <v>83</v>
      </c>
      <c r="AD189" s="792"/>
      <c r="AE189" s="792"/>
      <c r="AF189" s="792"/>
      <c r="AG189" s="792"/>
      <c r="AH189" s="775"/>
    </row>
    <row r="190" spans="1:92" x14ac:dyDescent="0.2">
      <c r="A190" s="783"/>
      <c r="B190" s="784"/>
      <c r="C190" s="781"/>
      <c r="D190" s="405" t="s">
        <v>37</v>
      </c>
      <c r="E190" s="132"/>
      <c r="F190" s="384"/>
      <c r="G190" s="384"/>
      <c r="H190" s="461"/>
      <c r="I190" s="384"/>
      <c r="J190" s="132"/>
      <c r="K190" s="384"/>
      <c r="L190" s="384"/>
      <c r="M190" s="384"/>
      <c r="N190" s="384"/>
      <c r="O190" s="384"/>
      <c r="P190" s="384"/>
      <c r="Q190" s="384"/>
      <c r="R190" s="384"/>
      <c r="S190" s="384"/>
      <c r="T190" s="386"/>
      <c r="U190" s="385"/>
      <c r="V190" s="385"/>
      <c r="W190" s="792"/>
      <c r="X190" s="792"/>
      <c r="Y190" s="792"/>
      <c r="Z190" s="792"/>
      <c r="AA190" s="792"/>
      <c r="AB190" s="792">
        <v>139</v>
      </c>
      <c r="AC190" s="792">
        <v>83</v>
      </c>
      <c r="AD190" s="792"/>
      <c r="AE190" s="792"/>
      <c r="AF190" s="792"/>
      <c r="AG190" s="792"/>
      <c r="AH190" s="775"/>
    </row>
    <row r="191" spans="1:92" ht="22.5" x14ac:dyDescent="0.2">
      <c r="A191" s="783"/>
      <c r="B191" s="784"/>
      <c r="C191" s="781"/>
      <c r="D191" s="409" t="s">
        <v>38</v>
      </c>
      <c r="E191" s="359">
        <f>396174434/500*E188</f>
        <v>166393262.28</v>
      </c>
      <c r="F191" s="384"/>
      <c r="G191" s="384"/>
      <c r="H191" s="461"/>
      <c r="I191" s="384"/>
      <c r="J191" s="359">
        <v>166393262.28</v>
      </c>
      <c r="K191" s="384"/>
      <c r="L191" s="384"/>
      <c r="M191" s="384"/>
      <c r="N191" s="384"/>
      <c r="O191" s="384"/>
      <c r="P191" s="384"/>
      <c r="Q191" s="384"/>
      <c r="R191" s="384"/>
      <c r="S191" s="384"/>
      <c r="T191" s="366">
        <f>46198396*T188/467</f>
        <v>18301291.777301926</v>
      </c>
      <c r="U191" s="385"/>
      <c r="V191" s="366">
        <f>258651982*V188/500</f>
        <v>106564616.58400001</v>
      </c>
      <c r="W191" s="793"/>
      <c r="X191" s="793"/>
      <c r="Y191" s="793"/>
      <c r="Z191" s="793"/>
      <c r="AA191" s="793"/>
      <c r="AB191" s="793">
        <v>139</v>
      </c>
      <c r="AC191" s="793">
        <v>83</v>
      </c>
      <c r="AD191" s="793"/>
      <c r="AE191" s="793"/>
      <c r="AF191" s="793"/>
      <c r="AG191" s="793"/>
      <c r="AH191" s="775"/>
    </row>
    <row r="192" spans="1:92" x14ac:dyDescent="0.2">
      <c r="A192" s="783"/>
      <c r="B192" s="784"/>
      <c r="C192" s="797" t="s">
        <v>301</v>
      </c>
      <c r="D192" s="400" t="s">
        <v>34</v>
      </c>
      <c r="E192" s="462">
        <v>78</v>
      </c>
      <c r="F192" s="463"/>
      <c r="G192" s="463"/>
      <c r="H192" s="463"/>
      <c r="I192" s="463"/>
      <c r="J192" s="462">
        <v>78</v>
      </c>
      <c r="K192" s="463"/>
      <c r="L192" s="463"/>
      <c r="M192" s="463"/>
      <c r="N192" s="463"/>
      <c r="O192" s="463"/>
      <c r="P192" s="463"/>
      <c r="Q192" s="463"/>
      <c r="R192" s="463"/>
      <c r="S192" s="463"/>
      <c r="T192" s="462">
        <v>70</v>
      </c>
      <c r="U192" s="463"/>
      <c r="V192" s="462">
        <v>77</v>
      </c>
      <c r="W192" s="791" t="s">
        <v>303</v>
      </c>
      <c r="X192" s="791"/>
      <c r="Y192" s="791" t="s">
        <v>346</v>
      </c>
      <c r="Z192" s="791" t="s">
        <v>364</v>
      </c>
      <c r="AA192" s="791" t="s">
        <v>305</v>
      </c>
      <c r="AB192" s="791">
        <v>3315</v>
      </c>
      <c r="AC192" s="791">
        <v>3078</v>
      </c>
      <c r="AD192" s="791" t="s">
        <v>202</v>
      </c>
      <c r="AE192" s="791" t="s">
        <v>197</v>
      </c>
      <c r="AF192" s="791" t="s">
        <v>203</v>
      </c>
      <c r="AG192" s="791">
        <v>6393</v>
      </c>
      <c r="AH192" s="775"/>
    </row>
    <row r="193" spans="1:35" x14ac:dyDescent="0.2">
      <c r="A193" s="783"/>
      <c r="B193" s="784"/>
      <c r="C193" s="797"/>
      <c r="D193" s="405" t="s">
        <v>36</v>
      </c>
      <c r="E193" s="355">
        <f>562600000/500*E192</f>
        <v>87765600</v>
      </c>
      <c r="F193" s="384"/>
      <c r="G193" s="384"/>
      <c r="H193" s="461"/>
      <c r="I193" s="384"/>
      <c r="J193" s="355">
        <v>87765600</v>
      </c>
      <c r="K193" s="384"/>
      <c r="L193" s="384"/>
      <c r="M193" s="384"/>
      <c r="N193" s="384"/>
      <c r="O193" s="384"/>
      <c r="P193" s="384"/>
      <c r="Q193" s="384"/>
      <c r="R193" s="384"/>
      <c r="S193" s="384"/>
      <c r="T193" s="366">
        <f>22957876*T192/467+26183012</f>
        <v>29624235.383297645</v>
      </c>
      <c r="U193" s="385"/>
      <c r="V193" s="366">
        <f>93682775/500*V192</f>
        <v>14427147.35</v>
      </c>
      <c r="W193" s="792"/>
      <c r="X193" s="792"/>
      <c r="Y193" s="792"/>
      <c r="Z193" s="792"/>
      <c r="AA193" s="792"/>
      <c r="AB193" s="792">
        <v>3315</v>
      </c>
      <c r="AC193" s="792">
        <v>3078</v>
      </c>
      <c r="AD193" s="792"/>
      <c r="AE193" s="792"/>
      <c r="AF193" s="792"/>
      <c r="AG193" s="792"/>
      <c r="AH193" s="775"/>
    </row>
    <row r="194" spans="1:35" x14ac:dyDescent="0.2">
      <c r="A194" s="783"/>
      <c r="B194" s="784"/>
      <c r="C194" s="797"/>
      <c r="D194" s="405" t="s">
        <v>37</v>
      </c>
      <c r="E194" s="101"/>
      <c r="F194" s="384"/>
      <c r="G194" s="384"/>
      <c r="H194" s="461"/>
      <c r="I194" s="384"/>
      <c r="J194" s="101"/>
      <c r="K194" s="384"/>
      <c r="L194" s="384"/>
      <c r="M194" s="384"/>
      <c r="N194" s="384"/>
      <c r="O194" s="384"/>
      <c r="P194" s="384"/>
      <c r="Q194" s="384"/>
      <c r="R194" s="384"/>
      <c r="S194" s="384"/>
      <c r="T194" s="386"/>
      <c r="U194" s="385"/>
      <c r="V194" s="385"/>
      <c r="W194" s="792"/>
      <c r="X194" s="792"/>
      <c r="Y194" s="792"/>
      <c r="Z194" s="792"/>
      <c r="AA194" s="792"/>
      <c r="AB194" s="792">
        <v>3315</v>
      </c>
      <c r="AC194" s="792">
        <v>3078</v>
      </c>
      <c r="AD194" s="792"/>
      <c r="AE194" s="792"/>
      <c r="AF194" s="792"/>
      <c r="AG194" s="792"/>
      <c r="AH194" s="775"/>
    </row>
    <row r="195" spans="1:35" ht="22.5" x14ac:dyDescent="0.2">
      <c r="A195" s="783"/>
      <c r="B195" s="784"/>
      <c r="C195" s="797"/>
      <c r="D195" s="409" t="s">
        <v>38</v>
      </c>
      <c r="E195" s="359">
        <f>396174434/500*E192</f>
        <v>61803211.704000004</v>
      </c>
      <c r="F195" s="384"/>
      <c r="G195" s="384"/>
      <c r="H195" s="461"/>
      <c r="I195" s="384"/>
      <c r="J195" s="359">
        <v>61803211.704000004</v>
      </c>
      <c r="K195" s="384"/>
      <c r="L195" s="384"/>
      <c r="M195" s="384"/>
      <c r="N195" s="384"/>
      <c r="O195" s="384"/>
      <c r="P195" s="384"/>
      <c r="Q195" s="384"/>
      <c r="R195" s="384"/>
      <c r="S195" s="384"/>
      <c r="T195" s="366">
        <f>46198396*T192/467</f>
        <v>6924813.1049250532</v>
      </c>
      <c r="U195" s="385"/>
      <c r="V195" s="366">
        <f>258651982*V192/500</f>
        <v>39832405.228</v>
      </c>
      <c r="W195" s="793"/>
      <c r="X195" s="793"/>
      <c r="Y195" s="793"/>
      <c r="Z195" s="793"/>
      <c r="AA195" s="793"/>
      <c r="AB195" s="793">
        <v>3315</v>
      </c>
      <c r="AC195" s="793">
        <v>3078</v>
      </c>
      <c r="AD195" s="793"/>
      <c r="AE195" s="793"/>
      <c r="AF195" s="793"/>
      <c r="AG195" s="793"/>
      <c r="AH195" s="775"/>
    </row>
    <row r="196" spans="1:35" x14ac:dyDescent="0.2">
      <c r="A196" s="783"/>
      <c r="B196" s="784"/>
      <c r="C196" s="797" t="s">
        <v>337</v>
      </c>
      <c r="D196" s="400" t="s">
        <v>34</v>
      </c>
      <c r="E196" s="462">
        <f t="shared" ref="E196:E197" si="77">E184+E188+E192</f>
        <v>500</v>
      </c>
      <c r="F196" s="463"/>
      <c r="G196" s="463"/>
      <c r="H196" s="463"/>
      <c r="I196" s="463"/>
      <c r="J196" s="462">
        <v>500</v>
      </c>
      <c r="K196" s="463"/>
      <c r="L196" s="463"/>
      <c r="M196" s="463"/>
      <c r="N196" s="463"/>
      <c r="O196" s="463"/>
      <c r="P196" s="463"/>
      <c r="Q196" s="463"/>
      <c r="R196" s="463"/>
      <c r="S196" s="463"/>
      <c r="T196" s="462">
        <f>+T184+T188+T192</f>
        <v>467</v>
      </c>
      <c r="U196" s="463">
        <f t="shared" ref="U196:V196" si="78">+U184+U188+U192</f>
        <v>0</v>
      </c>
      <c r="V196" s="462">
        <f t="shared" si="78"/>
        <v>500</v>
      </c>
      <c r="W196" s="406"/>
      <c r="X196" s="406"/>
      <c r="Y196" s="406"/>
      <c r="Z196" s="406"/>
      <c r="AA196" s="406"/>
      <c r="AB196" s="406"/>
      <c r="AC196" s="406"/>
      <c r="AD196" s="406"/>
      <c r="AE196" s="406"/>
      <c r="AF196" s="436"/>
      <c r="AG196" s="436"/>
      <c r="AH196" s="775"/>
    </row>
    <row r="197" spans="1:35" x14ac:dyDescent="0.2">
      <c r="A197" s="783"/>
      <c r="B197" s="784"/>
      <c r="C197" s="797"/>
      <c r="D197" s="405" t="s">
        <v>36</v>
      </c>
      <c r="E197" s="355">
        <f t="shared" si="77"/>
        <v>562600000</v>
      </c>
      <c r="F197" s="464"/>
      <c r="G197" s="384"/>
      <c r="H197" s="461"/>
      <c r="I197" s="384"/>
      <c r="J197" s="355">
        <v>562600000</v>
      </c>
      <c r="K197" s="384"/>
      <c r="L197" s="384"/>
      <c r="M197" s="384"/>
      <c r="N197" s="384"/>
      <c r="O197" s="384"/>
      <c r="P197" s="384"/>
      <c r="Q197" s="384"/>
      <c r="R197" s="384"/>
      <c r="S197" s="384"/>
      <c r="T197" s="366">
        <f>+T185+T189+T193</f>
        <v>49140888</v>
      </c>
      <c r="U197" s="385"/>
      <c r="V197" s="366">
        <f>+V185+V189+V193</f>
        <v>93682774.999999985</v>
      </c>
      <c r="W197" s="406"/>
      <c r="X197" s="406"/>
      <c r="Y197" s="406"/>
      <c r="Z197" s="406"/>
      <c r="AA197" s="406"/>
      <c r="AB197" s="406"/>
      <c r="AC197" s="406"/>
      <c r="AD197" s="406"/>
      <c r="AE197" s="406"/>
      <c r="AF197" s="436"/>
      <c r="AG197" s="436"/>
      <c r="AH197" s="775"/>
    </row>
    <row r="198" spans="1:35" x14ac:dyDescent="0.2">
      <c r="A198" s="783"/>
      <c r="B198" s="784"/>
      <c r="C198" s="797"/>
      <c r="D198" s="405" t="s">
        <v>37</v>
      </c>
      <c r="E198" s="102"/>
      <c r="F198" s="384"/>
      <c r="G198" s="384"/>
      <c r="H198" s="461"/>
      <c r="I198" s="384"/>
      <c r="J198" s="102"/>
      <c r="K198" s="384"/>
      <c r="L198" s="384"/>
      <c r="M198" s="384"/>
      <c r="N198" s="384"/>
      <c r="O198" s="384"/>
      <c r="P198" s="384"/>
      <c r="Q198" s="384"/>
      <c r="R198" s="384"/>
      <c r="S198" s="384"/>
      <c r="T198" s="386"/>
      <c r="U198" s="385"/>
      <c r="V198" s="385"/>
      <c r="W198" s="406"/>
      <c r="X198" s="406"/>
      <c r="Y198" s="406"/>
      <c r="Z198" s="406"/>
      <c r="AA198" s="406"/>
      <c r="AB198" s="406"/>
      <c r="AC198" s="406"/>
      <c r="AD198" s="406"/>
      <c r="AE198" s="406"/>
      <c r="AF198" s="436"/>
      <c r="AG198" s="436"/>
      <c r="AH198" s="775"/>
    </row>
    <row r="199" spans="1:35" ht="22.5" x14ac:dyDescent="0.2">
      <c r="A199" s="783"/>
      <c r="B199" s="784"/>
      <c r="C199" s="798"/>
      <c r="D199" s="368" t="s">
        <v>38</v>
      </c>
      <c r="E199" s="359">
        <f>E187+E191+E195</f>
        <v>396174434</v>
      </c>
      <c r="F199" s="464"/>
      <c r="G199" s="384"/>
      <c r="H199" s="461"/>
      <c r="I199" s="384"/>
      <c r="J199" s="359">
        <v>396174434</v>
      </c>
      <c r="K199" s="384"/>
      <c r="L199" s="384"/>
      <c r="M199" s="384"/>
      <c r="N199" s="384"/>
      <c r="O199" s="384"/>
      <c r="P199" s="384"/>
      <c r="Q199" s="384"/>
      <c r="R199" s="384"/>
      <c r="S199" s="384"/>
      <c r="T199" s="366">
        <f>+T187+T191+T195</f>
        <v>46198396</v>
      </c>
      <c r="U199" s="366">
        <f t="shared" ref="U199:V199" si="79">+U187+U191+U195</f>
        <v>0</v>
      </c>
      <c r="V199" s="366">
        <f t="shared" si="79"/>
        <v>258651982</v>
      </c>
      <c r="W199" s="406"/>
      <c r="X199" s="406"/>
      <c r="Y199" s="406"/>
      <c r="Z199" s="406"/>
      <c r="AA199" s="406"/>
      <c r="AB199" s="406"/>
      <c r="AC199" s="406"/>
      <c r="AD199" s="406"/>
      <c r="AE199" s="406"/>
      <c r="AF199" s="436"/>
      <c r="AG199" s="436"/>
      <c r="AH199" s="775"/>
    </row>
    <row r="200" spans="1:35" x14ac:dyDescent="0.2">
      <c r="A200" s="783">
        <v>17</v>
      </c>
      <c r="B200" s="784" t="s">
        <v>164</v>
      </c>
      <c r="C200" s="779" t="s">
        <v>308</v>
      </c>
      <c r="D200" s="400" t="s">
        <v>34</v>
      </c>
      <c r="E200" s="463">
        <v>48.43</v>
      </c>
      <c r="F200" s="463"/>
      <c r="G200" s="463"/>
      <c r="H200" s="463"/>
      <c r="I200" s="463"/>
      <c r="J200" s="463">
        <v>48.43</v>
      </c>
      <c r="K200" s="463"/>
      <c r="L200" s="463"/>
      <c r="M200" s="463"/>
      <c r="N200" s="463"/>
      <c r="O200" s="463"/>
      <c r="P200" s="463"/>
      <c r="Q200" s="463"/>
      <c r="R200" s="463"/>
      <c r="S200" s="463"/>
      <c r="T200" s="463">
        <v>48.43</v>
      </c>
      <c r="U200" s="463"/>
      <c r="V200" s="463">
        <v>67.5</v>
      </c>
      <c r="W200" s="791" t="s">
        <v>311</v>
      </c>
      <c r="X200" s="791"/>
      <c r="Y200" s="791" t="s">
        <v>324</v>
      </c>
      <c r="Z200" s="791" t="s">
        <v>374</v>
      </c>
      <c r="AA200" s="791" t="s">
        <v>312</v>
      </c>
      <c r="AB200" s="791">
        <v>139</v>
      </c>
      <c r="AC200" s="791">
        <v>83</v>
      </c>
      <c r="AD200" s="791" t="s">
        <v>202</v>
      </c>
      <c r="AE200" s="791" t="s">
        <v>197</v>
      </c>
      <c r="AF200" s="791" t="s">
        <v>203</v>
      </c>
      <c r="AG200" s="791" t="s">
        <v>326</v>
      </c>
      <c r="AH200" s="775"/>
    </row>
    <row r="201" spans="1:35" x14ac:dyDescent="0.2">
      <c r="A201" s="783"/>
      <c r="B201" s="784"/>
      <c r="C201" s="779"/>
      <c r="D201" s="405" t="s">
        <v>36</v>
      </c>
      <c r="E201" s="355">
        <f>540817000/120*E200</f>
        <v>218264727.58333331</v>
      </c>
      <c r="F201" s="384"/>
      <c r="G201" s="384"/>
      <c r="H201" s="461"/>
      <c r="I201" s="384"/>
      <c r="J201" s="355">
        <v>218264727.58333331</v>
      </c>
      <c r="K201" s="384"/>
      <c r="L201" s="384"/>
      <c r="M201" s="384"/>
      <c r="N201" s="384"/>
      <c r="O201" s="384"/>
      <c r="P201" s="384"/>
      <c r="Q201" s="384"/>
      <c r="R201" s="384"/>
      <c r="S201" s="384"/>
      <c r="T201" s="366">
        <f>11580431*T200/115.15</f>
        <v>4870519.0910117244</v>
      </c>
      <c r="U201" s="385"/>
      <c r="V201" s="366">
        <f>34904318/130.65*V200</f>
        <v>18033229.735935703</v>
      </c>
      <c r="W201" s="792"/>
      <c r="X201" s="792"/>
      <c r="Y201" s="792"/>
      <c r="Z201" s="792"/>
      <c r="AA201" s="792"/>
      <c r="AB201" s="792">
        <v>139</v>
      </c>
      <c r="AC201" s="792">
        <v>83</v>
      </c>
      <c r="AD201" s="792"/>
      <c r="AE201" s="792"/>
      <c r="AF201" s="792"/>
      <c r="AG201" s="792"/>
      <c r="AH201" s="775"/>
    </row>
    <row r="202" spans="1:35" x14ac:dyDescent="0.2">
      <c r="A202" s="783"/>
      <c r="B202" s="784"/>
      <c r="C202" s="779"/>
      <c r="D202" s="405" t="s">
        <v>37</v>
      </c>
      <c r="E202" s="132"/>
      <c r="F202" s="384"/>
      <c r="G202" s="384"/>
      <c r="H202" s="461"/>
      <c r="I202" s="384"/>
      <c r="J202" s="132"/>
      <c r="K202" s="384"/>
      <c r="L202" s="384"/>
      <c r="M202" s="384"/>
      <c r="N202" s="384"/>
      <c r="O202" s="384"/>
      <c r="P202" s="384"/>
      <c r="Q202" s="384"/>
      <c r="R202" s="384"/>
      <c r="S202" s="384"/>
      <c r="T202" s="366"/>
      <c r="U202" s="385"/>
      <c r="V202" s="385"/>
      <c r="W202" s="792"/>
      <c r="X202" s="792"/>
      <c r="Y202" s="792"/>
      <c r="Z202" s="792"/>
      <c r="AA202" s="792"/>
      <c r="AB202" s="792">
        <v>139</v>
      </c>
      <c r="AC202" s="792">
        <v>83</v>
      </c>
      <c r="AD202" s="792"/>
      <c r="AE202" s="792"/>
      <c r="AF202" s="792"/>
      <c r="AG202" s="792"/>
      <c r="AH202" s="775"/>
    </row>
    <row r="203" spans="1:35" ht="22.5" x14ac:dyDescent="0.2">
      <c r="A203" s="783"/>
      <c r="B203" s="784"/>
      <c r="C203" s="779"/>
      <c r="D203" s="409" t="s">
        <v>38</v>
      </c>
      <c r="E203" s="359">
        <f>260388218/120*E200</f>
        <v>105088344.98116668</v>
      </c>
      <c r="F203" s="384"/>
      <c r="G203" s="384"/>
      <c r="H203" s="461"/>
      <c r="I203" s="384"/>
      <c r="J203" s="359">
        <v>105088344.98116668</v>
      </c>
      <c r="K203" s="384"/>
      <c r="L203" s="384"/>
      <c r="M203" s="384"/>
      <c r="N203" s="384"/>
      <c r="O203" s="384"/>
      <c r="P203" s="384"/>
      <c r="Q203" s="384"/>
      <c r="R203" s="384"/>
      <c r="S203" s="384"/>
      <c r="T203" s="366">
        <f>86387722.9*T200/115.15</f>
        <v>36333108.293938346</v>
      </c>
      <c r="U203" s="385"/>
      <c r="V203" s="385">
        <f>113232625*V200/130.65</f>
        <v>58501356.199770376</v>
      </c>
      <c r="W203" s="793"/>
      <c r="X203" s="793"/>
      <c r="Y203" s="793"/>
      <c r="Z203" s="793"/>
      <c r="AA203" s="793"/>
      <c r="AB203" s="793">
        <v>139</v>
      </c>
      <c r="AC203" s="793">
        <v>83</v>
      </c>
      <c r="AD203" s="793"/>
      <c r="AE203" s="793"/>
      <c r="AF203" s="793"/>
      <c r="AG203" s="793"/>
      <c r="AH203" s="775"/>
    </row>
    <row r="204" spans="1:35" x14ac:dyDescent="0.2">
      <c r="A204" s="783"/>
      <c r="B204" s="784"/>
      <c r="C204" s="779" t="s">
        <v>309</v>
      </c>
      <c r="D204" s="400" t="s">
        <v>34</v>
      </c>
      <c r="E204" s="463">
        <f>66+4.85</f>
        <v>70.849999999999994</v>
      </c>
      <c r="F204" s="463"/>
      <c r="G204" s="463"/>
      <c r="H204" s="463"/>
      <c r="I204" s="463"/>
      <c r="J204" s="463">
        <v>70.849999999999994</v>
      </c>
      <c r="K204" s="463"/>
      <c r="L204" s="463"/>
      <c r="M204" s="463"/>
      <c r="N204" s="463"/>
      <c r="O204" s="463"/>
      <c r="P204" s="463"/>
      <c r="Q204" s="463"/>
      <c r="R204" s="463"/>
      <c r="S204" s="463"/>
      <c r="T204" s="463">
        <v>66</v>
      </c>
      <c r="U204" s="463"/>
      <c r="V204" s="463">
        <v>62.43</v>
      </c>
      <c r="W204" s="791" t="s">
        <v>250</v>
      </c>
      <c r="X204" s="791"/>
      <c r="Y204" s="791" t="s">
        <v>347</v>
      </c>
      <c r="Z204" s="791" t="s">
        <v>375</v>
      </c>
      <c r="AA204" s="791" t="s">
        <v>312</v>
      </c>
      <c r="AB204" s="791">
        <v>161</v>
      </c>
      <c r="AC204" s="791">
        <v>89</v>
      </c>
      <c r="AD204" s="791" t="s">
        <v>202</v>
      </c>
      <c r="AE204" s="791" t="s">
        <v>197</v>
      </c>
      <c r="AF204" s="791" t="s">
        <v>203</v>
      </c>
      <c r="AG204" s="791" t="s">
        <v>327</v>
      </c>
      <c r="AH204" s="775"/>
    </row>
    <row r="205" spans="1:35" x14ac:dyDescent="0.2">
      <c r="A205" s="783"/>
      <c r="B205" s="784"/>
      <c r="C205" s="779"/>
      <c r="D205" s="405" t="s">
        <v>36</v>
      </c>
      <c r="E205" s="355">
        <f>540817000/120*E204</f>
        <v>319307370.41666663</v>
      </c>
      <c r="F205" s="384"/>
      <c r="G205" s="384"/>
      <c r="H205" s="461"/>
      <c r="I205" s="384"/>
      <c r="J205" s="355">
        <v>319307370.41666663</v>
      </c>
      <c r="K205" s="384"/>
      <c r="L205" s="384"/>
      <c r="M205" s="384"/>
      <c r="N205" s="384"/>
      <c r="O205" s="384"/>
      <c r="P205" s="384"/>
      <c r="Q205" s="384"/>
      <c r="R205" s="384"/>
      <c r="S205" s="384"/>
      <c r="T205" s="366">
        <f>11580431*T204/115.15</f>
        <v>6637502.7876682589</v>
      </c>
      <c r="U205" s="385"/>
      <c r="V205" s="385">
        <f>34904318/130.65*V204</f>
        <v>16678733.813547645</v>
      </c>
      <c r="W205" s="792"/>
      <c r="X205" s="792"/>
      <c r="Y205" s="792"/>
      <c r="Z205" s="792"/>
      <c r="AA205" s="792"/>
      <c r="AB205" s="792">
        <v>161</v>
      </c>
      <c r="AC205" s="792">
        <v>89</v>
      </c>
      <c r="AD205" s="792"/>
      <c r="AE205" s="792"/>
      <c r="AF205" s="792"/>
      <c r="AG205" s="792"/>
      <c r="AH205" s="775"/>
    </row>
    <row r="206" spans="1:35" x14ac:dyDescent="0.2">
      <c r="A206" s="783"/>
      <c r="B206" s="784"/>
      <c r="C206" s="779"/>
      <c r="D206" s="405" t="s">
        <v>37</v>
      </c>
      <c r="E206" s="132"/>
      <c r="F206" s="384"/>
      <c r="G206" s="384"/>
      <c r="H206" s="461"/>
      <c r="I206" s="384"/>
      <c r="J206" s="132"/>
      <c r="K206" s="384"/>
      <c r="L206" s="384"/>
      <c r="M206" s="384"/>
      <c r="N206" s="384"/>
      <c r="O206" s="384"/>
      <c r="P206" s="384"/>
      <c r="Q206" s="384"/>
      <c r="R206" s="384"/>
      <c r="S206" s="384"/>
      <c r="T206" s="366"/>
      <c r="U206" s="385"/>
      <c r="V206" s="385"/>
      <c r="W206" s="792"/>
      <c r="X206" s="792"/>
      <c r="Y206" s="792"/>
      <c r="Z206" s="792"/>
      <c r="AA206" s="792"/>
      <c r="AB206" s="792">
        <v>161</v>
      </c>
      <c r="AC206" s="792">
        <v>89</v>
      </c>
      <c r="AD206" s="792"/>
      <c r="AE206" s="792"/>
      <c r="AF206" s="792"/>
      <c r="AG206" s="792"/>
      <c r="AH206" s="775"/>
    </row>
    <row r="207" spans="1:35" ht="22.5" x14ac:dyDescent="0.2">
      <c r="A207" s="783"/>
      <c r="B207" s="784"/>
      <c r="C207" s="779"/>
      <c r="D207" s="409" t="s">
        <v>38</v>
      </c>
      <c r="E207" s="359">
        <f>260388218/120*E204</f>
        <v>153737543.71083334</v>
      </c>
      <c r="F207" s="384"/>
      <c r="G207" s="384"/>
      <c r="H207" s="461"/>
      <c r="I207" s="384"/>
      <c r="J207" s="359">
        <v>153737543.71083334</v>
      </c>
      <c r="K207" s="384"/>
      <c r="L207" s="384"/>
      <c r="M207" s="384"/>
      <c r="N207" s="384"/>
      <c r="O207" s="384"/>
      <c r="P207" s="384"/>
      <c r="Q207" s="384"/>
      <c r="R207" s="384"/>
      <c r="S207" s="384"/>
      <c r="T207" s="366">
        <f>86387722.9*T204/115.15</f>
        <v>49514456.894485459</v>
      </c>
      <c r="U207" s="385"/>
      <c r="V207" s="385">
        <f>113232625*V204/130.65</f>
        <v>54107254.334098734</v>
      </c>
      <c r="W207" s="793"/>
      <c r="X207" s="793"/>
      <c r="Y207" s="793"/>
      <c r="Z207" s="793"/>
      <c r="AA207" s="793"/>
      <c r="AB207" s="793">
        <v>161</v>
      </c>
      <c r="AC207" s="793">
        <v>89</v>
      </c>
      <c r="AD207" s="793"/>
      <c r="AE207" s="793"/>
      <c r="AF207" s="793"/>
      <c r="AG207" s="793"/>
      <c r="AH207" s="775"/>
    </row>
    <row r="208" spans="1:35" x14ac:dyDescent="0.2">
      <c r="A208" s="783"/>
      <c r="B208" s="784"/>
      <c r="C208" s="779" t="s">
        <v>310</v>
      </c>
      <c r="D208" s="400" t="s">
        <v>34</v>
      </c>
      <c r="E208" s="463">
        <v>0.72</v>
      </c>
      <c r="F208" s="463"/>
      <c r="G208" s="463"/>
      <c r="H208" s="463"/>
      <c r="I208" s="463"/>
      <c r="J208" s="463">
        <v>0.72</v>
      </c>
      <c r="K208" s="463"/>
      <c r="L208" s="463"/>
      <c r="M208" s="463"/>
      <c r="N208" s="463"/>
      <c r="O208" s="463"/>
      <c r="P208" s="463"/>
      <c r="Q208" s="463"/>
      <c r="R208" s="463"/>
      <c r="S208" s="463"/>
      <c r="T208" s="463">
        <v>0.72</v>
      </c>
      <c r="U208" s="463"/>
      <c r="V208" s="463">
        <v>0.72</v>
      </c>
      <c r="W208" s="791" t="s">
        <v>303</v>
      </c>
      <c r="X208" s="791"/>
      <c r="Y208" s="791" t="s">
        <v>325</v>
      </c>
      <c r="Z208" s="791" t="s">
        <v>376</v>
      </c>
      <c r="AA208" s="791" t="s">
        <v>312</v>
      </c>
      <c r="AB208" s="791">
        <v>3315</v>
      </c>
      <c r="AC208" s="791">
        <v>3078</v>
      </c>
      <c r="AD208" s="791" t="s">
        <v>202</v>
      </c>
      <c r="AE208" s="791" t="s">
        <v>197</v>
      </c>
      <c r="AF208" s="791" t="s">
        <v>203</v>
      </c>
      <c r="AG208" s="791" t="s">
        <v>328</v>
      </c>
      <c r="AH208" s="775"/>
      <c r="AI208" s="791"/>
    </row>
    <row r="209" spans="1:92" x14ac:dyDescent="0.2">
      <c r="A209" s="783"/>
      <c r="B209" s="784"/>
      <c r="C209" s="779"/>
      <c r="D209" s="405" t="s">
        <v>36</v>
      </c>
      <c r="E209" s="355">
        <f>540817000/120*E208</f>
        <v>3244901.9999999995</v>
      </c>
      <c r="F209" s="384"/>
      <c r="G209" s="384"/>
      <c r="H209" s="461"/>
      <c r="I209" s="384"/>
      <c r="J209" s="355">
        <v>3244901.9999999995</v>
      </c>
      <c r="K209" s="384"/>
      <c r="L209" s="384"/>
      <c r="M209" s="384"/>
      <c r="N209" s="384"/>
      <c r="O209" s="384"/>
      <c r="P209" s="384"/>
      <c r="Q209" s="384"/>
      <c r="R209" s="384"/>
      <c r="S209" s="384"/>
      <c r="T209" s="366">
        <f>11580431*T208/115.15</f>
        <v>72409.121320017366</v>
      </c>
      <c r="U209" s="385"/>
      <c r="V209" s="385">
        <f>34904318/130.65*V208</f>
        <v>192354.45051664748</v>
      </c>
      <c r="W209" s="792"/>
      <c r="X209" s="792"/>
      <c r="Y209" s="792"/>
      <c r="Z209" s="792"/>
      <c r="AA209" s="792"/>
      <c r="AB209" s="792">
        <v>3315</v>
      </c>
      <c r="AC209" s="792">
        <v>3078</v>
      </c>
      <c r="AD209" s="792"/>
      <c r="AE209" s="792"/>
      <c r="AF209" s="792"/>
      <c r="AG209" s="792"/>
      <c r="AH209" s="775"/>
      <c r="AI209" s="792"/>
    </row>
    <row r="210" spans="1:92" x14ac:dyDescent="0.2">
      <c r="A210" s="783"/>
      <c r="B210" s="784"/>
      <c r="C210" s="779"/>
      <c r="D210" s="405" t="s">
        <v>37</v>
      </c>
      <c r="E210" s="79"/>
      <c r="F210" s="384"/>
      <c r="G210" s="384"/>
      <c r="H210" s="461"/>
      <c r="I210" s="384"/>
      <c r="J210" s="79"/>
      <c r="K210" s="384"/>
      <c r="L210" s="384"/>
      <c r="M210" s="384"/>
      <c r="N210" s="384"/>
      <c r="O210" s="384"/>
      <c r="P210" s="384"/>
      <c r="Q210" s="384"/>
      <c r="R210" s="384"/>
      <c r="S210" s="384"/>
      <c r="T210" s="366"/>
      <c r="U210" s="385"/>
      <c r="V210" s="385"/>
      <c r="W210" s="792"/>
      <c r="X210" s="792"/>
      <c r="Y210" s="792"/>
      <c r="Z210" s="792"/>
      <c r="AA210" s="792"/>
      <c r="AB210" s="792">
        <v>3315</v>
      </c>
      <c r="AC210" s="792">
        <v>3078</v>
      </c>
      <c r="AD210" s="792"/>
      <c r="AE210" s="792"/>
      <c r="AF210" s="792"/>
      <c r="AG210" s="792"/>
      <c r="AH210" s="775"/>
      <c r="AI210" s="792"/>
    </row>
    <row r="211" spans="1:92" ht="22.5" x14ac:dyDescent="0.2">
      <c r="A211" s="783"/>
      <c r="B211" s="784"/>
      <c r="C211" s="779"/>
      <c r="D211" s="409" t="s">
        <v>38</v>
      </c>
      <c r="E211" s="359">
        <f>260388218/120*E208</f>
        <v>1562329.3080000002</v>
      </c>
      <c r="F211" s="384"/>
      <c r="G211" s="384"/>
      <c r="H211" s="461"/>
      <c r="I211" s="384"/>
      <c r="J211" s="359">
        <v>1562329.3080000002</v>
      </c>
      <c r="K211" s="384"/>
      <c r="L211" s="384"/>
      <c r="M211" s="384"/>
      <c r="N211" s="384"/>
      <c r="O211" s="384"/>
      <c r="P211" s="384"/>
      <c r="Q211" s="384"/>
      <c r="R211" s="384"/>
      <c r="S211" s="384"/>
      <c r="T211" s="366">
        <f>86387722.9*T208/115.15</f>
        <v>540157.71157620498</v>
      </c>
      <c r="U211" s="385"/>
      <c r="V211" s="385">
        <f>113232625*V208/130.65</f>
        <v>624014.46613088402</v>
      </c>
      <c r="W211" s="793"/>
      <c r="X211" s="793"/>
      <c r="Y211" s="793"/>
      <c r="Z211" s="793"/>
      <c r="AA211" s="793"/>
      <c r="AB211" s="793">
        <v>3315</v>
      </c>
      <c r="AC211" s="793">
        <v>3078</v>
      </c>
      <c r="AD211" s="793"/>
      <c r="AE211" s="793"/>
      <c r="AF211" s="793"/>
      <c r="AG211" s="793"/>
      <c r="AH211" s="775"/>
      <c r="AI211" s="793"/>
    </row>
    <row r="212" spans="1:92" x14ac:dyDescent="0.2">
      <c r="A212" s="783"/>
      <c r="B212" s="784"/>
      <c r="C212" s="779" t="s">
        <v>348</v>
      </c>
      <c r="D212" s="400" t="s">
        <v>34</v>
      </c>
      <c r="E212" s="463">
        <f>+E200+E204+E208</f>
        <v>120</v>
      </c>
      <c r="F212" s="463"/>
      <c r="G212" s="463"/>
      <c r="H212" s="463"/>
      <c r="I212" s="463"/>
      <c r="J212" s="463">
        <v>120</v>
      </c>
      <c r="K212" s="463"/>
      <c r="L212" s="463"/>
      <c r="M212" s="463"/>
      <c r="N212" s="463"/>
      <c r="O212" s="463"/>
      <c r="P212" s="463"/>
      <c r="Q212" s="463"/>
      <c r="R212" s="463"/>
      <c r="S212" s="463"/>
      <c r="T212" s="463">
        <f>+T200+T204+T208</f>
        <v>115.15</v>
      </c>
      <c r="U212" s="463"/>
      <c r="V212" s="463">
        <f>+V200+V204+V208</f>
        <v>130.65</v>
      </c>
      <c r="W212" s="406"/>
      <c r="X212" s="406"/>
      <c r="Y212" s="406"/>
      <c r="Z212" s="406"/>
      <c r="AA212" s="406"/>
      <c r="AB212" s="406"/>
      <c r="AC212" s="406"/>
      <c r="AD212" s="406"/>
      <c r="AE212" s="406"/>
      <c r="AF212" s="436"/>
      <c r="AG212" s="436"/>
      <c r="AH212" s="775"/>
    </row>
    <row r="213" spans="1:92" x14ac:dyDescent="0.2">
      <c r="A213" s="783"/>
      <c r="B213" s="784"/>
      <c r="C213" s="779"/>
      <c r="D213" s="405" t="s">
        <v>36</v>
      </c>
      <c r="E213" s="355">
        <f>+E201+E205+E209</f>
        <v>540817000</v>
      </c>
      <c r="F213" s="464"/>
      <c r="G213" s="384"/>
      <c r="H213" s="461"/>
      <c r="I213" s="384"/>
      <c r="J213" s="355">
        <v>540817000</v>
      </c>
      <c r="K213" s="384"/>
      <c r="L213" s="384"/>
      <c r="M213" s="384"/>
      <c r="N213" s="384"/>
      <c r="O213" s="384"/>
      <c r="P213" s="384"/>
      <c r="Q213" s="384"/>
      <c r="R213" s="384"/>
      <c r="S213" s="384"/>
      <c r="T213" s="366">
        <f>+T201+T205+T209</f>
        <v>11580431</v>
      </c>
      <c r="U213" s="366">
        <f t="shared" ref="U213:V213" si="80">+U201+U205+U209</f>
        <v>0</v>
      </c>
      <c r="V213" s="366">
        <f t="shared" si="80"/>
        <v>34904317.999999993</v>
      </c>
      <c r="W213" s="406"/>
      <c r="X213" s="406"/>
      <c r="Y213" s="406"/>
      <c r="Z213" s="406"/>
      <c r="AA213" s="406"/>
      <c r="AB213" s="406"/>
      <c r="AC213" s="406"/>
      <c r="AD213" s="406"/>
      <c r="AE213" s="406"/>
      <c r="AF213" s="436"/>
      <c r="AG213" s="436"/>
      <c r="AH213" s="775"/>
    </row>
    <row r="214" spans="1:92" x14ac:dyDescent="0.2">
      <c r="A214" s="783"/>
      <c r="B214" s="784"/>
      <c r="C214" s="779"/>
      <c r="D214" s="405" t="s">
        <v>37</v>
      </c>
      <c r="E214" s="385"/>
      <c r="F214" s="384"/>
      <c r="G214" s="384"/>
      <c r="H214" s="461"/>
      <c r="I214" s="384"/>
      <c r="J214" s="385"/>
      <c r="K214" s="384"/>
      <c r="L214" s="384"/>
      <c r="M214" s="384"/>
      <c r="N214" s="384"/>
      <c r="O214" s="384"/>
      <c r="P214" s="384"/>
      <c r="Q214" s="384"/>
      <c r="R214" s="384"/>
      <c r="S214" s="384"/>
      <c r="T214" s="386"/>
      <c r="U214" s="385"/>
      <c r="V214" s="385"/>
      <c r="W214" s="406"/>
      <c r="X214" s="406"/>
      <c r="Y214" s="406"/>
      <c r="Z214" s="406"/>
      <c r="AA214" s="406"/>
      <c r="AB214" s="406"/>
      <c r="AC214" s="406"/>
      <c r="AD214" s="406"/>
      <c r="AE214" s="406"/>
      <c r="AF214" s="436"/>
      <c r="AG214" s="436"/>
      <c r="AH214" s="775"/>
    </row>
    <row r="215" spans="1:92" ht="22.5" x14ac:dyDescent="0.2">
      <c r="A215" s="783"/>
      <c r="B215" s="784"/>
      <c r="C215" s="779"/>
      <c r="D215" s="409" t="s">
        <v>38</v>
      </c>
      <c r="E215" s="359">
        <f>+E203+E207+E211</f>
        <v>260388218.00000003</v>
      </c>
      <c r="F215" s="464"/>
      <c r="G215" s="384"/>
      <c r="H215" s="461"/>
      <c r="I215" s="384"/>
      <c r="J215" s="359">
        <v>260388218.00000003</v>
      </c>
      <c r="K215" s="384"/>
      <c r="L215" s="384"/>
      <c r="M215" s="384"/>
      <c r="N215" s="384"/>
      <c r="O215" s="384"/>
      <c r="P215" s="384"/>
      <c r="Q215" s="384"/>
      <c r="R215" s="384"/>
      <c r="S215" s="384"/>
      <c r="T215" s="366">
        <f>+T203+T211+T207</f>
        <v>86387722.900000006</v>
      </c>
      <c r="U215" s="366">
        <f t="shared" ref="U215:V215" si="81">+U203+U211+U207</f>
        <v>0</v>
      </c>
      <c r="V215" s="366">
        <f t="shared" si="81"/>
        <v>113232625</v>
      </c>
      <c r="W215" s="406"/>
      <c r="X215" s="406"/>
      <c r="Y215" s="406"/>
      <c r="Z215" s="406"/>
      <c r="AA215" s="406"/>
      <c r="AB215" s="406"/>
      <c r="AC215" s="406"/>
      <c r="AD215" s="406"/>
      <c r="AE215" s="406"/>
      <c r="AF215" s="436"/>
      <c r="AG215" s="436"/>
      <c r="AH215" s="775"/>
    </row>
    <row r="216" spans="1:92" s="468" customFormat="1" ht="63.75" customHeight="1" x14ac:dyDescent="0.2">
      <c r="A216" s="794">
        <v>18</v>
      </c>
      <c r="B216" s="795" t="s">
        <v>165</v>
      </c>
      <c r="C216" s="796" t="s">
        <v>313</v>
      </c>
      <c r="D216" s="400" t="s">
        <v>34</v>
      </c>
      <c r="E216" s="385"/>
      <c r="F216" s="384"/>
      <c r="G216" s="384"/>
      <c r="H216" s="461"/>
      <c r="I216" s="384"/>
      <c r="J216" s="385"/>
      <c r="K216" s="384"/>
      <c r="L216" s="384"/>
      <c r="M216" s="384"/>
      <c r="N216" s="384"/>
      <c r="O216" s="384"/>
      <c r="P216" s="384"/>
      <c r="Q216" s="384"/>
      <c r="R216" s="384"/>
      <c r="S216" s="384"/>
      <c r="T216" s="386"/>
      <c r="U216" s="385"/>
      <c r="V216" s="385"/>
      <c r="W216" s="788" t="s">
        <v>293</v>
      </c>
      <c r="X216" s="788"/>
      <c r="Y216" s="788"/>
      <c r="Z216" s="788"/>
      <c r="AA216" s="788" t="s">
        <v>314</v>
      </c>
      <c r="AB216" s="788">
        <v>179377</v>
      </c>
      <c r="AC216" s="788">
        <v>186695</v>
      </c>
      <c r="AD216" s="788" t="s">
        <v>202</v>
      </c>
      <c r="AE216" s="788" t="s">
        <v>197</v>
      </c>
      <c r="AF216" s="788" t="s">
        <v>203</v>
      </c>
      <c r="AG216" s="788">
        <v>366072</v>
      </c>
      <c r="AH216" s="775"/>
      <c r="AI216" s="465"/>
      <c r="AJ216" s="465"/>
      <c r="AK216" s="466"/>
      <c r="AL216" s="466"/>
      <c r="AM216" s="466"/>
      <c r="AN216" s="466"/>
      <c r="AO216" s="466"/>
      <c r="AP216" s="466"/>
      <c r="AQ216" s="466"/>
      <c r="AR216" s="466"/>
      <c r="AS216" s="466"/>
      <c r="AT216" s="467"/>
      <c r="AU216" s="467"/>
      <c r="AV216" s="467"/>
      <c r="AW216" s="465"/>
      <c r="AX216" s="465"/>
      <c r="AY216" s="465"/>
      <c r="AZ216" s="465"/>
      <c r="BA216" s="465"/>
      <c r="BB216" s="465"/>
      <c r="BC216" s="465"/>
      <c r="BD216" s="465"/>
      <c r="BE216" s="465"/>
      <c r="BF216" s="465"/>
      <c r="BG216" s="465"/>
      <c r="BH216" s="465"/>
      <c r="BI216" s="465"/>
      <c r="BJ216" s="465"/>
      <c r="BK216" s="465"/>
      <c r="BL216" s="465"/>
      <c r="BM216" s="465"/>
      <c r="BN216" s="465"/>
      <c r="BO216" s="465"/>
      <c r="BP216" s="465"/>
      <c r="BQ216" s="465"/>
      <c r="BR216" s="465"/>
      <c r="BS216" s="465"/>
      <c r="BT216" s="465"/>
      <c r="BU216" s="465"/>
      <c r="BV216" s="465"/>
      <c r="BW216" s="465"/>
      <c r="BX216" s="465"/>
      <c r="BY216" s="465"/>
      <c r="BZ216" s="465"/>
      <c r="CA216" s="465"/>
      <c r="CB216" s="465"/>
      <c r="CC216" s="465"/>
      <c r="CD216" s="465"/>
      <c r="CE216" s="465"/>
      <c r="CF216" s="465"/>
      <c r="CG216" s="465"/>
      <c r="CH216" s="465"/>
      <c r="CI216" s="465"/>
      <c r="CJ216" s="465"/>
      <c r="CK216" s="465"/>
      <c r="CL216" s="465"/>
      <c r="CM216" s="465"/>
      <c r="CN216" s="465"/>
    </row>
    <row r="217" spans="1:92" s="468" customFormat="1" x14ac:dyDescent="0.2">
      <c r="A217" s="794"/>
      <c r="B217" s="795"/>
      <c r="C217" s="796"/>
      <c r="D217" s="405" t="s">
        <v>36</v>
      </c>
      <c r="E217" s="357"/>
      <c r="F217" s="384"/>
      <c r="G217" s="384"/>
      <c r="H217" s="461"/>
      <c r="I217" s="384"/>
      <c r="J217" s="357"/>
      <c r="K217" s="384"/>
      <c r="L217" s="384"/>
      <c r="M217" s="384"/>
      <c r="N217" s="384"/>
      <c r="O217" s="384"/>
      <c r="P217" s="384"/>
      <c r="Q217" s="384"/>
      <c r="R217" s="384"/>
      <c r="S217" s="384"/>
      <c r="T217" s="366"/>
      <c r="U217" s="385"/>
      <c r="V217" s="385"/>
      <c r="W217" s="789"/>
      <c r="X217" s="789"/>
      <c r="Y217" s="789"/>
      <c r="Z217" s="789"/>
      <c r="AA217" s="789"/>
      <c r="AB217" s="789"/>
      <c r="AC217" s="789"/>
      <c r="AD217" s="789"/>
      <c r="AE217" s="789"/>
      <c r="AF217" s="789"/>
      <c r="AG217" s="789"/>
      <c r="AH217" s="775"/>
      <c r="AI217" s="465"/>
      <c r="AJ217" s="465"/>
      <c r="AK217" s="466"/>
      <c r="AL217" s="466"/>
      <c r="AM217" s="466"/>
      <c r="AN217" s="466"/>
      <c r="AO217" s="466"/>
      <c r="AP217" s="466"/>
      <c r="AQ217" s="466"/>
      <c r="AR217" s="466"/>
      <c r="AS217" s="466"/>
      <c r="AT217" s="467"/>
      <c r="AU217" s="467"/>
      <c r="AV217" s="467"/>
      <c r="AW217" s="465"/>
      <c r="AX217" s="465"/>
      <c r="AY217" s="465"/>
      <c r="AZ217" s="465"/>
      <c r="BA217" s="465"/>
      <c r="BB217" s="465"/>
      <c r="BC217" s="465"/>
      <c r="BD217" s="465"/>
      <c r="BE217" s="465"/>
      <c r="BF217" s="465"/>
      <c r="BG217" s="465"/>
      <c r="BH217" s="465"/>
      <c r="BI217" s="465"/>
      <c r="BJ217" s="465"/>
      <c r="BK217" s="465"/>
      <c r="BL217" s="465"/>
      <c r="BM217" s="465"/>
      <c r="BN217" s="465"/>
      <c r="BO217" s="465"/>
      <c r="BP217" s="465"/>
      <c r="BQ217" s="465"/>
      <c r="BR217" s="465"/>
      <c r="BS217" s="465"/>
      <c r="BT217" s="465"/>
      <c r="BU217" s="465"/>
      <c r="BV217" s="465"/>
      <c r="BW217" s="465"/>
      <c r="BX217" s="465"/>
      <c r="BY217" s="465"/>
      <c r="BZ217" s="465"/>
      <c r="CA217" s="465"/>
      <c r="CB217" s="465"/>
      <c r="CC217" s="465"/>
      <c r="CD217" s="465"/>
      <c r="CE217" s="465"/>
      <c r="CF217" s="465"/>
      <c r="CG217" s="465"/>
      <c r="CH217" s="465"/>
      <c r="CI217" s="465"/>
      <c r="CJ217" s="465"/>
      <c r="CK217" s="465"/>
      <c r="CL217" s="465"/>
      <c r="CM217" s="465"/>
      <c r="CN217" s="465"/>
    </row>
    <row r="218" spans="1:92" s="468" customFormat="1" x14ac:dyDescent="0.2">
      <c r="A218" s="794"/>
      <c r="B218" s="795"/>
      <c r="C218" s="796"/>
      <c r="D218" s="405" t="s">
        <v>37</v>
      </c>
      <c r="E218" s="469"/>
      <c r="F218" s="384"/>
      <c r="G218" s="384"/>
      <c r="H218" s="461"/>
      <c r="I218" s="384"/>
      <c r="J218" s="469"/>
      <c r="K218" s="384"/>
      <c r="L218" s="384"/>
      <c r="M218" s="384"/>
      <c r="N218" s="384"/>
      <c r="O218" s="384"/>
      <c r="P218" s="384"/>
      <c r="Q218" s="384"/>
      <c r="R218" s="384"/>
      <c r="S218" s="384"/>
      <c r="T218" s="459"/>
      <c r="U218" s="385"/>
      <c r="V218" s="385"/>
      <c r="W218" s="789"/>
      <c r="X218" s="789"/>
      <c r="Y218" s="789"/>
      <c r="Z218" s="789"/>
      <c r="AA218" s="789"/>
      <c r="AB218" s="789"/>
      <c r="AC218" s="789"/>
      <c r="AD218" s="789"/>
      <c r="AE218" s="789"/>
      <c r="AF218" s="789"/>
      <c r="AG218" s="789"/>
      <c r="AH218" s="775"/>
      <c r="AI218" s="465"/>
      <c r="AJ218" s="465"/>
      <c r="AK218" s="466"/>
      <c r="AL218" s="466"/>
      <c r="AM218" s="466"/>
      <c r="AN218" s="466"/>
      <c r="AO218" s="466"/>
      <c r="AP218" s="466"/>
      <c r="AQ218" s="466"/>
      <c r="AR218" s="466"/>
      <c r="AS218" s="466"/>
      <c r="AT218" s="467"/>
      <c r="AU218" s="467"/>
      <c r="AV218" s="467"/>
      <c r="AW218" s="465"/>
      <c r="AX218" s="465"/>
      <c r="AY218" s="465"/>
      <c r="AZ218" s="465"/>
      <c r="BA218" s="465"/>
      <c r="BB218" s="465"/>
      <c r="BC218" s="465"/>
      <c r="BD218" s="465"/>
      <c r="BE218" s="465"/>
      <c r="BF218" s="465"/>
      <c r="BG218" s="465"/>
      <c r="BH218" s="465"/>
      <c r="BI218" s="465"/>
      <c r="BJ218" s="465"/>
      <c r="BK218" s="465"/>
      <c r="BL218" s="465"/>
      <c r="BM218" s="465"/>
      <c r="BN218" s="465"/>
      <c r="BO218" s="465"/>
      <c r="BP218" s="465"/>
      <c r="BQ218" s="465"/>
      <c r="BR218" s="465"/>
      <c r="BS218" s="465"/>
      <c r="BT218" s="465"/>
      <c r="BU218" s="465"/>
      <c r="BV218" s="465"/>
      <c r="BW218" s="465"/>
      <c r="BX218" s="465"/>
      <c r="BY218" s="465"/>
      <c r="BZ218" s="465"/>
      <c r="CA218" s="465"/>
      <c r="CB218" s="465"/>
      <c r="CC218" s="465"/>
      <c r="CD218" s="465"/>
      <c r="CE218" s="465"/>
      <c r="CF218" s="465"/>
      <c r="CG218" s="465"/>
      <c r="CH218" s="465"/>
      <c r="CI218" s="465"/>
      <c r="CJ218" s="465"/>
      <c r="CK218" s="465"/>
      <c r="CL218" s="465"/>
      <c r="CM218" s="465"/>
      <c r="CN218" s="465"/>
    </row>
    <row r="219" spans="1:92" s="468" customFormat="1" ht="22.5" x14ac:dyDescent="0.2">
      <c r="A219" s="794"/>
      <c r="B219" s="795"/>
      <c r="C219" s="796"/>
      <c r="D219" s="409" t="s">
        <v>38</v>
      </c>
      <c r="E219" s="359">
        <v>5572301</v>
      </c>
      <c r="F219" s="384"/>
      <c r="G219" s="384"/>
      <c r="H219" s="461"/>
      <c r="I219" s="384"/>
      <c r="J219" s="359">
        <v>5572301</v>
      </c>
      <c r="K219" s="384"/>
      <c r="L219" s="384"/>
      <c r="M219" s="384"/>
      <c r="N219" s="384"/>
      <c r="O219" s="384"/>
      <c r="P219" s="384"/>
      <c r="Q219" s="384"/>
      <c r="R219" s="384"/>
      <c r="S219" s="384"/>
      <c r="T219" s="366">
        <v>5572301</v>
      </c>
      <c r="U219" s="385"/>
      <c r="V219" s="366">
        <v>5572301</v>
      </c>
      <c r="W219" s="790"/>
      <c r="X219" s="790"/>
      <c r="Y219" s="790"/>
      <c r="Z219" s="790"/>
      <c r="AA219" s="790"/>
      <c r="AB219" s="790"/>
      <c r="AC219" s="790"/>
      <c r="AD219" s="790"/>
      <c r="AE219" s="790"/>
      <c r="AF219" s="790"/>
      <c r="AG219" s="790"/>
      <c r="AH219" s="775"/>
      <c r="AI219" s="465"/>
      <c r="AJ219" s="465"/>
      <c r="AK219" s="466"/>
      <c r="AL219" s="466"/>
      <c r="AM219" s="466"/>
      <c r="AN219" s="466"/>
      <c r="AO219" s="466"/>
      <c r="AP219" s="466"/>
      <c r="AQ219" s="466"/>
      <c r="AR219" s="466"/>
      <c r="AS219" s="466"/>
      <c r="AT219" s="467"/>
      <c r="AU219" s="467"/>
      <c r="AV219" s="467"/>
      <c r="AW219" s="465"/>
      <c r="AX219" s="465"/>
      <c r="AY219" s="465"/>
      <c r="AZ219" s="465"/>
      <c r="BA219" s="465"/>
      <c r="BB219" s="465"/>
      <c r="BC219" s="465"/>
      <c r="BD219" s="465"/>
      <c r="BE219" s="465"/>
      <c r="BF219" s="465"/>
      <c r="BG219" s="465"/>
      <c r="BH219" s="465"/>
      <c r="BI219" s="465"/>
      <c r="BJ219" s="465"/>
      <c r="BK219" s="465"/>
      <c r="BL219" s="465"/>
      <c r="BM219" s="465"/>
      <c r="BN219" s="465"/>
      <c r="BO219" s="465"/>
      <c r="BP219" s="465"/>
      <c r="BQ219" s="465"/>
      <c r="BR219" s="465"/>
      <c r="BS219" s="465"/>
      <c r="BT219" s="465"/>
      <c r="BU219" s="465"/>
      <c r="BV219" s="465"/>
      <c r="BW219" s="465"/>
      <c r="BX219" s="465"/>
      <c r="BY219" s="465"/>
      <c r="BZ219" s="465"/>
      <c r="CA219" s="465"/>
      <c r="CB219" s="465"/>
      <c r="CC219" s="465"/>
      <c r="CD219" s="465"/>
      <c r="CE219" s="465"/>
      <c r="CF219" s="465"/>
      <c r="CG219" s="465"/>
      <c r="CH219" s="465"/>
      <c r="CI219" s="465"/>
      <c r="CJ219" s="465"/>
      <c r="CK219" s="465"/>
      <c r="CL219" s="465"/>
      <c r="CM219" s="465"/>
      <c r="CN219" s="465"/>
    </row>
    <row r="220" spans="1:92" ht="15" customHeight="1" x14ac:dyDescent="0.2">
      <c r="A220" s="783">
        <v>19</v>
      </c>
      <c r="B220" s="784" t="s">
        <v>166</v>
      </c>
      <c r="C220" s="784" t="s">
        <v>213</v>
      </c>
      <c r="D220" s="400" t="s">
        <v>34</v>
      </c>
      <c r="E220" s="463">
        <v>1</v>
      </c>
      <c r="F220" s="463"/>
      <c r="G220" s="463"/>
      <c r="H220" s="463"/>
      <c r="I220" s="463"/>
      <c r="J220" s="463">
        <v>1</v>
      </c>
      <c r="K220" s="463"/>
      <c r="L220" s="463"/>
      <c r="M220" s="463"/>
      <c r="N220" s="463"/>
      <c r="O220" s="463"/>
      <c r="P220" s="463"/>
      <c r="Q220" s="463"/>
      <c r="R220" s="463"/>
      <c r="S220" s="463"/>
      <c r="T220" s="463">
        <v>1</v>
      </c>
      <c r="U220" s="463"/>
      <c r="V220" s="463">
        <v>1</v>
      </c>
      <c r="W220" s="786" t="s">
        <v>295</v>
      </c>
      <c r="X220" s="787" t="s">
        <v>295</v>
      </c>
      <c r="Y220" s="785" t="s">
        <v>198</v>
      </c>
      <c r="Z220" s="787" t="s">
        <v>296</v>
      </c>
      <c r="AA220" s="779" t="s">
        <v>297</v>
      </c>
      <c r="AB220" s="785">
        <v>3758224</v>
      </c>
      <c r="AC220" s="785">
        <v>4018621</v>
      </c>
      <c r="AD220" s="785" t="s">
        <v>202</v>
      </c>
      <c r="AE220" s="785" t="s">
        <v>197</v>
      </c>
      <c r="AF220" s="785" t="s">
        <v>203</v>
      </c>
      <c r="AG220" s="782">
        <v>7776845</v>
      </c>
      <c r="AH220" s="775"/>
    </row>
    <row r="221" spans="1:92" x14ac:dyDescent="0.2">
      <c r="A221" s="783"/>
      <c r="B221" s="784"/>
      <c r="C221" s="784"/>
      <c r="D221" s="405" t="s">
        <v>36</v>
      </c>
      <c r="E221" s="355">
        <v>166551000</v>
      </c>
      <c r="F221" s="384"/>
      <c r="G221" s="384"/>
      <c r="H221" s="461"/>
      <c r="I221" s="384"/>
      <c r="J221" s="355">
        <v>166551000</v>
      </c>
      <c r="K221" s="384"/>
      <c r="L221" s="384"/>
      <c r="M221" s="384"/>
      <c r="N221" s="384"/>
      <c r="O221" s="384"/>
      <c r="P221" s="384"/>
      <c r="Q221" s="384"/>
      <c r="R221" s="384"/>
      <c r="S221" s="384"/>
      <c r="T221" s="366">
        <v>17218407</v>
      </c>
      <c r="U221" s="385"/>
      <c r="V221" s="366">
        <v>17218407</v>
      </c>
      <c r="W221" s="786"/>
      <c r="X221" s="787"/>
      <c r="Y221" s="785"/>
      <c r="Z221" s="787"/>
      <c r="AA221" s="779"/>
      <c r="AB221" s="785"/>
      <c r="AC221" s="785"/>
      <c r="AD221" s="785"/>
      <c r="AE221" s="785"/>
      <c r="AF221" s="785"/>
      <c r="AG221" s="782"/>
      <c r="AH221" s="775"/>
    </row>
    <row r="222" spans="1:92" x14ac:dyDescent="0.2">
      <c r="A222" s="783"/>
      <c r="B222" s="784"/>
      <c r="C222" s="784"/>
      <c r="D222" s="405" t="s">
        <v>37</v>
      </c>
      <c r="E222" s="357"/>
      <c r="F222" s="384"/>
      <c r="G222" s="384"/>
      <c r="H222" s="461"/>
      <c r="I222" s="384"/>
      <c r="J222" s="357"/>
      <c r="K222" s="384"/>
      <c r="L222" s="384"/>
      <c r="M222" s="384"/>
      <c r="N222" s="384"/>
      <c r="O222" s="384"/>
      <c r="P222" s="384"/>
      <c r="Q222" s="384"/>
      <c r="R222" s="384"/>
      <c r="S222" s="384"/>
      <c r="T222" s="357"/>
      <c r="U222" s="385"/>
      <c r="V222" s="385"/>
      <c r="W222" s="786"/>
      <c r="X222" s="787"/>
      <c r="Y222" s="785"/>
      <c r="Z222" s="787"/>
      <c r="AA222" s="779"/>
      <c r="AB222" s="785"/>
      <c r="AC222" s="785"/>
      <c r="AD222" s="785"/>
      <c r="AE222" s="785"/>
      <c r="AF222" s="785"/>
      <c r="AG222" s="782"/>
      <c r="AH222" s="775"/>
    </row>
    <row r="223" spans="1:92" ht="22.5" x14ac:dyDescent="0.2">
      <c r="A223" s="783"/>
      <c r="B223" s="784"/>
      <c r="C223" s="784"/>
      <c r="D223" s="409" t="s">
        <v>38</v>
      </c>
      <c r="E223" s="359">
        <v>29288736</v>
      </c>
      <c r="F223" s="384"/>
      <c r="G223" s="384"/>
      <c r="H223" s="461"/>
      <c r="I223" s="384"/>
      <c r="J223" s="359">
        <v>29288736</v>
      </c>
      <c r="K223" s="384"/>
      <c r="L223" s="384"/>
      <c r="M223" s="384"/>
      <c r="N223" s="384"/>
      <c r="O223" s="384"/>
      <c r="P223" s="384"/>
      <c r="Q223" s="384"/>
      <c r="R223" s="384"/>
      <c r="S223" s="384"/>
      <c r="T223" s="366">
        <v>29288736</v>
      </c>
      <c r="U223" s="385"/>
      <c r="V223" s="366">
        <v>29288736</v>
      </c>
      <c r="W223" s="786"/>
      <c r="X223" s="787"/>
      <c r="Y223" s="785"/>
      <c r="Z223" s="787"/>
      <c r="AA223" s="779"/>
      <c r="AB223" s="785"/>
      <c r="AC223" s="785"/>
      <c r="AD223" s="785"/>
      <c r="AE223" s="785"/>
      <c r="AF223" s="785"/>
      <c r="AG223" s="782"/>
      <c r="AH223" s="775"/>
    </row>
    <row r="224" spans="1:92" ht="16.5" customHeight="1" x14ac:dyDescent="0.2">
      <c r="A224" s="783">
        <v>20</v>
      </c>
      <c r="B224" s="784" t="s">
        <v>167</v>
      </c>
      <c r="C224" s="784" t="s">
        <v>213</v>
      </c>
      <c r="D224" s="400" t="s">
        <v>34</v>
      </c>
      <c r="E224" s="463">
        <v>100</v>
      </c>
      <c r="F224" s="463"/>
      <c r="G224" s="463"/>
      <c r="H224" s="463"/>
      <c r="I224" s="463"/>
      <c r="J224" s="463">
        <v>100</v>
      </c>
      <c r="K224" s="463"/>
      <c r="L224" s="463"/>
      <c r="M224" s="463"/>
      <c r="N224" s="463"/>
      <c r="O224" s="463"/>
      <c r="P224" s="463"/>
      <c r="Q224" s="463"/>
      <c r="R224" s="463"/>
      <c r="S224" s="463"/>
      <c r="T224" s="463">
        <v>100</v>
      </c>
      <c r="U224" s="463"/>
      <c r="V224" s="463">
        <v>100</v>
      </c>
      <c r="W224" s="786" t="s">
        <v>295</v>
      </c>
      <c r="X224" s="787" t="s">
        <v>295</v>
      </c>
      <c r="Y224" s="785" t="s">
        <v>198</v>
      </c>
      <c r="Z224" s="787" t="s">
        <v>296</v>
      </c>
      <c r="AA224" s="779" t="s">
        <v>297</v>
      </c>
      <c r="AB224" s="785">
        <v>3758224</v>
      </c>
      <c r="AC224" s="785">
        <v>4018621</v>
      </c>
      <c r="AD224" s="785" t="s">
        <v>202</v>
      </c>
      <c r="AE224" s="785" t="s">
        <v>197</v>
      </c>
      <c r="AF224" s="785" t="s">
        <v>203</v>
      </c>
      <c r="AG224" s="782">
        <v>7776845</v>
      </c>
      <c r="AH224" s="775"/>
    </row>
    <row r="225" spans="1:92" ht="16.5" customHeight="1" x14ac:dyDescent="0.2">
      <c r="A225" s="783"/>
      <c r="B225" s="784"/>
      <c r="C225" s="784"/>
      <c r="D225" s="405" t="s">
        <v>36</v>
      </c>
      <c r="E225" s="355">
        <v>379003000</v>
      </c>
      <c r="F225" s="384"/>
      <c r="G225" s="384"/>
      <c r="H225" s="461"/>
      <c r="I225" s="384"/>
      <c r="J225" s="355">
        <v>379003000</v>
      </c>
      <c r="K225" s="384"/>
      <c r="L225" s="384"/>
      <c r="M225" s="384"/>
      <c r="N225" s="384"/>
      <c r="O225" s="384"/>
      <c r="P225" s="384"/>
      <c r="Q225" s="384"/>
      <c r="R225" s="384"/>
      <c r="S225" s="384"/>
      <c r="T225" s="366">
        <v>97698281</v>
      </c>
      <c r="U225" s="385"/>
      <c r="V225" s="366">
        <v>135508757</v>
      </c>
      <c r="W225" s="786"/>
      <c r="X225" s="787"/>
      <c r="Y225" s="785"/>
      <c r="Z225" s="787"/>
      <c r="AA225" s="779"/>
      <c r="AB225" s="785"/>
      <c r="AC225" s="785"/>
      <c r="AD225" s="785"/>
      <c r="AE225" s="785"/>
      <c r="AF225" s="785"/>
      <c r="AG225" s="782"/>
      <c r="AH225" s="775"/>
    </row>
    <row r="226" spans="1:92" ht="16.5" customHeight="1" x14ac:dyDescent="0.2">
      <c r="A226" s="783"/>
      <c r="B226" s="784"/>
      <c r="C226" s="784"/>
      <c r="D226" s="405" t="s">
        <v>37</v>
      </c>
      <c r="E226" s="357"/>
      <c r="F226" s="384"/>
      <c r="G226" s="384"/>
      <c r="H226" s="461"/>
      <c r="I226" s="384"/>
      <c r="J226" s="357"/>
      <c r="K226" s="384"/>
      <c r="L226" s="384"/>
      <c r="M226" s="384"/>
      <c r="N226" s="384"/>
      <c r="O226" s="384"/>
      <c r="P226" s="384"/>
      <c r="Q226" s="384"/>
      <c r="R226" s="384"/>
      <c r="S226" s="384"/>
      <c r="T226" s="357"/>
      <c r="U226" s="385"/>
      <c r="V226" s="385"/>
      <c r="W226" s="786"/>
      <c r="X226" s="787"/>
      <c r="Y226" s="785"/>
      <c r="Z226" s="787"/>
      <c r="AA226" s="779"/>
      <c r="AB226" s="785"/>
      <c r="AC226" s="785"/>
      <c r="AD226" s="785"/>
      <c r="AE226" s="785"/>
      <c r="AF226" s="785"/>
      <c r="AG226" s="782"/>
      <c r="AH226" s="775"/>
    </row>
    <row r="227" spans="1:92" ht="16.5" customHeight="1" x14ac:dyDescent="0.2">
      <c r="A227" s="783"/>
      <c r="B227" s="784"/>
      <c r="C227" s="784"/>
      <c r="D227" s="409" t="s">
        <v>38</v>
      </c>
      <c r="E227" s="359">
        <v>162208566</v>
      </c>
      <c r="F227" s="464"/>
      <c r="G227" s="384"/>
      <c r="H227" s="461"/>
      <c r="I227" s="384"/>
      <c r="J227" s="359">
        <v>162208566</v>
      </c>
      <c r="K227" s="384"/>
      <c r="L227" s="384"/>
      <c r="M227" s="384"/>
      <c r="N227" s="384"/>
      <c r="O227" s="384"/>
      <c r="P227" s="384"/>
      <c r="Q227" s="384"/>
      <c r="R227" s="384"/>
      <c r="S227" s="384"/>
      <c r="T227" s="366">
        <v>38865955</v>
      </c>
      <c r="U227" s="385"/>
      <c r="V227" s="366">
        <v>133106286</v>
      </c>
      <c r="W227" s="786"/>
      <c r="X227" s="787"/>
      <c r="Y227" s="785"/>
      <c r="Z227" s="787"/>
      <c r="AA227" s="779"/>
      <c r="AB227" s="785"/>
      <c r="AC227" s="785"/>
      <c r="AD227" s="785"/>
      <c r="AE227" s="785"/>
      <c r="AF227" s="785"/>
      <c r="AG227" s="782"/>
      <c r="AH227" s="775"/>
    </row>
    <row r="228" spans="1:92" ht="12.75" customHeight="1" x14ac:dyDescent="0.2">
      <c r="A228" s="783">
        <v>21</v>
      </c>
      <c r="B228" s="784" t="s">
        <v>168</v>
      </c>
      <c r="C228" s="781" t="s">
        <v>315</v>
      </c>
      <c r="D228" s="400" t="s">
        <v>34</v>
      </c>
      <c r="E228" s="463">
        <v>0.5</v>
      </c>
      <c r="F228" s="463"/>
      <c r="G228" s="463"/>
      <c r="H228" s="463"/>
      <c r="I228" s="463"/>
      <c r="J228" s="463">
        <v>0.5</v>
      </c>
      <c r="K228" s="463"/>
      <c r="L228" s="463"/>
      <c r="M228" s="463"/>
      <c r="N228" s="463"/>
      <c r="O228" s="463"/>
      <c r="P228" s="463"/>
      <c r="Q228" s="463"/>
      <c r="R228" s="463"/>
      <c r="S228" s="463"/>
      <c r="T228" s="463">
        <v>0.49</v>
      </c>
      <c r="U228" s="463"/>
      <c r="V228" s="463">
        <v>0.5</v>
      </c>
      <c r="W228" s="779" t="s">
        <v>250</v>
      </c>
      <c r="X228" s="779"/>
      <c r="Y228" s="779" t="s">
        <v>318</v>
      </c>
      <c r="Z228" s="779" t="s">
        <v>319</v>
      </c>
      <c r="AA228" s="779" t="s">
        <v>319</v>
      </c>
      <c r="AB228" s="779">
        <v>161</v>
      </c>
      <c r="AC228" s="779">
        <v>89</v>
      </c>
      <c r="AD228" s="779" t="s">
        <v>202</v>
      </c>
      <c r="AE228" s="779" t="s">
        <v>197</v>
      </c>
      <c r="AF228" s="779" t="s">
        <v>203</v>
      </c>
      <c r="AG228" s="780">
        <v>250</v>
      </c>
      <c r="AH228" s="775"/>
    </row>
    <row r="229" spans="1:92" x14ac:dyDescent="0.2">
      <c r="A229" s="783"/>
      <c r="B229" s="784"/>
      <c r="C229" s="781"/>
      <c r="D229" s="405" t="s">
        <v>36</v>
      </c>
      <c r="E229" s="431">
        <f>49852000/2</f>
        <v>24926000</v>
      </c>
      <c r="F229" s="384"/>
      <c r="G229" s="384"/>
      <c r="H229" s="461"/>
      <c r="I229" s="384"/>
      <c r="J229" s="431">
        <v>24926000</v>
      </c>
      <c r="K229" s="384"/>
      <c r="L229" s="384"/>
      <c r="M229" s="384"/>
      <c r="N229" s="384"/>
      <c r="O229" s="384"/>
      <c r="P229" s="384"/>
      <c r="Q229" s="384"/>
      <c r="R229" s="384"/>
      <c r="S229" s="384"/>
      <c r="T229" s="470">
        <f>11793500/2</f>
        <v>5896750</v>
      </c>
      <c r="U229" s="385"/>
      <c r="V229" s="366">
        <f>11793500/2</f>
        <v>5896750</v>
      </c>
      <c r="W229" s="779"/>
      <c r="X229" s="779"/>
      <c r="Y229" s="779"/>
      <c r="Z229" s="779"/>
      <c r="AA229" s="779"/>
      <c r="AB229" s="779">
        <v>161</v>
      </c>
      <c r="AC229" s="779">
        <v>89</v>
      </c>
      <c r="AD229" s="779"/>
      <c r="AE229" s="779"/>
      <c r="AF229" s="779"/>
      <c r="AG229" s="780"/>
      <c r="AH229" s="775"/>
    </row>
    <row r="230" spans="1:92" x14ac:dyDescent="0.2">
      <c r="A230" s="783"/>
      <c r="B230" s="784"/>
      <c r="C230" s="781"/>
      <c r="D230" s="405" t="s">
        <v>37</v>
      </c>
      <c r="E230" s="471"/>
      <c r="F230" s="384"/>
      <c r="G230" s="384"/>
      <c r="H230" s="461"/>
      <c r="I230" s="384"/>
      <c r="J230" s="471"/>
      <c r="K230" s="384"/>
      <c r="L230" s="384"/>
      <c r="M230" s="384"/>
      <c r="N230" s="384"/>
      <c r="O230" s="384"/>
      <c r="P230" s="384"/>
      <c r="Q230" s="384"/>
      <c r="R230" s="384"/>
      <c r="S230" s="384"/>
      <c r="T230" s="470"/>
      <c r="U230" s="385"/>
      <c r="V230" s="385"/>
      <c r="W230" s="779"/>
      <c r="X230" s="779"/>
      <c r="Y230" s="779"/>
      <c r="Z230" s="779"/>
      <c r="AA230" s="779"/>
      <c r="AB230" s="779">
        <v>161</v>
      </c>
      <c r="AC230" s="779">
        <v>89</v>
      </c>
      <c r="AD230" s="779"/>
      <c r="AE230" s="779"/>
      <c r="AF230" s="779"/>
      <c r="AG230" s="780"/>
      <c r="AH230" s="775"/>
    </row>
    <row r="231" spans="1:92" ht="22.5" x14ac:dyDescent="0.2">
      <c r="A231" s="783"/>
      <c r="B231" s="784"/>
      <c r="C231" s="781"/>
      <c r="D231" s="409" t="s">
        <v>38</v>
      </c>
      <c r="E231" s="431">
        <f>2121113/2</f>
        <v>1060556.5</v>
      </c>
      <c r="F231" s="384"/>
      <c r="G231" s="384"/>
      <c r="H231" s="461"/>
      <c r="I231" s="384"/>
      <c r="J231" s="431">
        <v>1060556.5</v>
      </c>
      <c r="K231" s="384"/>
      <c r="L231" s="384"/>
      <c r="M231" s="384"/>
      <c r="N231" s="384"/>
      <c r="O231" s="384"/>
      <c r="P231" s="384"/>
      <c r="Q231" s="384"/>
      <c r="R231" s="384"/>
      <c r="S231" s="384"/>
      <c r="T231" s="470">
        <f>2121113/2</f>
        <v>1060556.5</v>
      </c>
      <c r="U231" s="385"/>
      <c r="V231" s="366">
        <f>2121113/2</f>
        <v>1060556.5</v>
      </c>
      <c r="W231" s="779"/>
      <c r="X231" s="779"/>
      <c r="Y231" s="779"/>
      <c r="Z231" s="779"/>
      <c r="AA231" s="779"/>
      <c r="AB231" s="779">
        <v>161</v>
      </c>
      <c r="AC231" s="779">
        <v>89</v>
      </c>
      <c r="AD231" s="779"/>
      <c r="AE231" s="779"/>
      <c r="AF231" s="779"/>
      <c r="AG231" s="780"/>
      <c r="AH231" s="775"/>
    </row>
    <row r="232" spans="1:92" ht="12.75" customHeight="1" x14ac:dyDescent="0.2">
      <c r="A232" s="783"/>
      <c r="B232" s="784"/>
      <c r="C232" s="781" t="s">
        <v>316</v>
      </c>
      <c r="D232" s="400" t="s">
        <v>34</v>
      </c>
      <c r="E232" s="463">
        <v>0.5</v>
      </c>
      <c r="F232" s="463"/>
      <c r="G232" s="463"/>
      <c r="H232" s="463"/>
      <c r="I232" s="463"/>
      <c r="J232" s="463">
        <v>0.5</v>
      </c>
      <c r="K232" s="463"/>
      <c r="L232" s="463"/>
      <c r="M232" s="463"/>
      <c r="N232" s="463"/>
      <c r="O232" s="463"/>
      <c r="P232" s="463"/>
      <c r="Q232" s="463"/>
      <c r="R232" s="463"/>
      <c r="S232" s="463"/>
      <c r="T232" s="463">
        <v>0.49</v>
      </c>
      <c r="U232" s="463"/>
      <c r="V232" s="463">
        <v>0.5</v>
      </c>
      <c r="W232" s="779" t="s">
        <v>317</v>
      </c>
      <c r="X232" s="779"/>
      <c r="Y232" s="779" t="s">
        <v>377</v>
      </c>
      <c r="Z232" s="779" t="s">
        <v>319</v>
      </c>
      <c r="AA232" s="779" t="s">
        <v>319</v>
      </c>
      <c r="AB232" s="779">
        <v>139</v>
      </c>
      <c r="AC232" s="779">
        <v>83</v>
      </c>
      <c r="AD232" s="779" t="s">
        <v>202</v>
      </c>
      <c r="AE232" s="779" t="s">
        <v>197</v>
      </c>
      <c r="AF232" s="779" t="s">
        <v>203</v>
      </c>
      <c r="AG232" s="780">
        <v>222</v>
      </c>
      <c r="AH232" s="775"/>
    </row>
    <row r="233" spans="1:92" x14ac:dyDescent="0.2">
      <c r="A233" s="783"/>
      <c r="B233" s="784"/>
      <c r="C233" s="781"/>
      <c r="D233" s="405" t="s">
        <v>36</v>
      </c>
      <c r="E233" s="355">
        <v>24926000</v>
      </c>
      <c r="F233" s="384"/>
      <c r="G233" s="384"/>
      <c r="H233" s="461"/>
      <c r="I233" s="384"/>
      <c r="J233" s="355">
        <v>24926000</v>
      </c>
      <c r="K233" s="384"/>
      <c r="L233" s="384"/>
      <c r="M233" s="384"/>
      <c r="N233" s="384"/>
      <c r="O233" s="384"/>
      <c r="P233" s="384"/>
      <c r="Q233" s="384"/>
      <c r="R233" s="384"/>
      <c r="S233" s="384"/>
      <c r="T233" s="470">
        <v>5896750</v>
      </c>
      <c r="U233" s="385"/>
      <c r="V233" s="366">
        <f>11793500/2</f>
        <v>5896750</v>
      </c>
      <c r="W233" s="779"/>
      <c r="X233" s="779"/>
      <c r="Y233" s="779"/>
      <c r="Z233" s="779"/>
      <c r="AA233" s="779"/>
      <c r="AB233" s="779">
        <v>139</v>
      </c>
      <c r="AC233" s="779">
        <v>83</v>
      </c>
      <c r="AD233" s="779"/>
      <c r="AE233" s="779"/>
      <c r="AF233" s="779"/>
      <c r="AG233" s="780"/>
      <c r="AH233" s="775"/>
    </row>
    <row r="234" spans="1:92" x14ac:dyDescent="0.2">
      <c r="A234" s="783"/>
      <c r="B234" s="784"/>
      <c r="C234" s="781"/>
      <c r="D234" s="405" t="s">
        <v>37</v>
      </c>
      <c r="E234" s="357"/>
      <c r="F234" s="384"/>
      <c r="G234" s="384"/>
      <c r="H234" s="461"/>
      <c r="I234" s="384"/>
      <c r="J234" s="357"/>
      <c r="K234" s="384"/>
      <c r="L234" s="384"/>
      <c r="M234" s="384"/>
      <c r="N234" s="384"/>
      <c r="O234" s="384"/>
      <c r="P234" s="384"/>
      <c r="Q234" s="384"/>
      <c r="R234" s="384"/>
      <c r="S234" s="384"/>
      <c r="T234" s="470"/>
      <c r="U234" s="385"/>
      <c r="V234" s="385"/>
      <c r="W234" s="779"/>
      <c r="X234" s="779"/>
      <c r="Y234" s="779"/>
      <c r="Z234" s="779"/>
      <c r="AA234" s="779"/>
      <c r="AB234" s="779">
        <v>139</v>
      </c>
      <c r="AC234" s="779">
        <v>83</v>
      </c>
      <c r="AD234" s="779"/>
      <c r="AE234" s="779"/>
      <c r="AF234" s="779"/>
      <c r="AG234" s="780"/>
      <c r="AH234" s="775"/>
    </row>
    <row r="235" spans="1:92" ht="22.5" x14ac:dyDescent="0.2">
      <c r="A235" s="783"/>
      <c r="B235" s="784"/>
      <c r="C235" s="781"/>
      <c r="D235" s="409" t="s">
        <v>38</v>
      </c>
      <c r="E235" s="359">
        <v>1060556.5</v>
      </c>
      <c r="F235" s="384"/>
      <c r="G235" s="384"/>
      <c r="H235" s="461"/>
      <c r="I235" s="384"/>
      <c r="J235" s="359">
        <v>1060556.5</v>
      </c>
      <c r="K235" s="384"/>
      <c r="L235" s="384"/>
      <c r="M235" s="384"/>
      <c r="N235" s="384"/>
      <c r="O235" s="384"/>
      <c r="P235" s="384"/>
      <c r="Q235" s="384"/>
      <c r="R235" s="384"/>
      <c r="S235" s="384"/>
      <c r="T235" s="470">
        <v>1060556.5</v>
      </c>
      <c r="U235" s="385"/>
      <c r="V235" s="366">
        <v>1060556.5</v>
      </c>
      <c r="W235" s="779"/>
      <c r="X235" s="779"/>
      <c r="Y235" s="779"/>
      <c r="Z235" s="779"/>
      <c r="AA235" s="779"/>
      <c r="AB235" s="779">
        <v>139</v>
      </c>
      <c r="AC235" s="779">
        <v>83</v>
      </c>
      <c r="AD235" s="779"/>
      <c r="AE235" s="779"/>
      <c r="AF235" s="779"/>
      <c r="AG235" s="780"/>
      <c r="AH235" s="775"/>
    </row>
    <row r="236" spans="1:92" x14ac:dyDescent="0.2">
      <c r="A236" s="783"/>
      <c r="B236" s="784"/>
      <c r="C236" s="781" t="s">
        <v>337</v>
      </c>
      <c r="D236" s="400" t="s">
        <v>34</v>
      </c>
      <c r="E236" s="463">
        <f>+E228+E232</f>
        <v>1</v>
      </c>
      <c r="F236" s="384"/>
      <c r="G236" s="384"/>
      <c r="H236" s="461"/>
      <c r="I236" s="384"/>
      <c r="J236" s="463">
        <v>1</v>
      </c>
      <c r="K236" s="384"/>
      <c r="L236" s="384"/>
      <c r="M236" s="384"/>
      <c r="N236" s="384"/>
      <c r="O236" s="384"/>
      <c r="P236" s="384"/>
      <c r="Q236" s="384"/>
      <c r="R236" s="384"/>
      <c r="S236" s="384"/>
      <c r="T236" s="463">
        <f>+T228+T232</f>
        <v>0.98</v>
      </c>
      <c r="U236" s="463"/>
      <c r="V236" s="463">
        <f>+V228+V232</f>
        <v>1</v>
      </c>
      <c r="W236" s="416"/>
      <c r="X236" s="416"/>
      <c r="Y236" s="416"/>
      <c r="Z236" s="416"/>
      <c r="AA236" s="416"/>
      <c r="AB236" s="416"/>
      <c r="AC236" s="416"/>
      <c r="AD236" s="416"/>
      <c r="AE236" s="416"/>
      <c r="AF236" s="417"/>
      <c r="AG236" s="417"/>
      <c r="AH236" s="775"/>
    </row>
    <row r="237" spans="1:92" x14ac:dyDescent="0.2">
      <c r="A237" s="783"/>
      <c r="B237" s="784"/>
      <c r="C237" s="781"/>
      <c r="D237" s="405" t="s">
        <v>36</v>
      </c>
      <c r="E237" s="355">
        <f>+E229+E233</f>
        <v>49852000</v>
      </c>
      <c r="F237" s="464"/>
      <c r="G237" s="384"/>
      <c r="H237" s="461"/>
      <c r="I237" s="384"/>
      <c r="J237" s="355">
        <v>49852000</v>
      </c>
      <c r="K237" s="384"/>
      <c r="L237" s="384"/>
      <c r="M237" s="384"/>
      <c r="N237" s="384"/>
      <c r="O237" s="384"/>
      <c r="P237" s="384"/>
      <c r="Q237" s="384"/>
      <c r="R237" s="384"/>
      <c r="S237" s="384"/>
      <c r="T237" s="470">
        <f>+T229+T233</f>
        <v>11793500</v>
      </c>
      <c r="U237" s="385"/>
      <c r="V237" s="366">
        <f>+V229+V233</f>
        <v>11793500</v>
      </c>
      <c r="W237" s="416"/>
      <c r="X237" s="416"/>
      <c r="Y237" s="416"/>
      <c r="Z237" s="416"/>
      <c r="AA237" s="416"/>
      <c r="AB237" s="416"/>
      <c r="AC237" s="416"/>
      <c r="AD237" s="416"/>
      <c r="AE237" s="416"/>
      <c r="AF237" s="417"/>
      <c r="AG237" s="417"/>
      <c r="AH237" s="775"/>
    </row>
    <row r="238" spans="1:92" x14ac:dyDescent="0.2">
      <c r="A238" s="783"/>
      <c r="B238" s="784"/>
      <c r="C238" s="781"/>
      <c r="D238" s="405" t="s">
        <v>37</v>
      </c>
      <c r="E238" s="385"/>
      <c r="F238" s="384"/>
      <c r="G238" s="384"/>
      <c r="H238" s="461"/>
      <c r="I238" s="384"/>
      <c r="J238" s="385"/>
      <c r="K238" s="384"/>
      <c r="L238" s="384"/>
      <c r="M238" s="384"/>
      <c r="N238" s="384"/>
      <c r="O238" s="384"/>
      <c r="P238" s="384"/>
      <c r="Q238" s="384"/>
      <c r="R238" s="384"/>
      <c r="S238" s="384"/>
      <c r="T238" s="366"/>
      <c r="U238" s="385"/>
      <c r="V238" s="385"/>
      <c r="W238" s="416"/>
      <c r="X238" s="416"/>
      <c r="Y238" s="416"/>
      <c r="Z238" s="416"/>
      <c r="AA238" s="416"/>
      <c r="AB238" s="416"/>
      <c r="AC238" s="416"/>
      <c r="AD238" s="416"/>
      <c r="AE238" s="416"/>
      <c r="AF238" s="417"/>
      <c r="AG238" s="417"/>
      <c r="AH238" s="775"/>
    </row>
    <row r="239" spans="1:92" ht="22.5" x14ac:dyDescent="0.2">
      <c r="A239" s="783"/>
      <c r="B239" s="784"/>
      <c r="C239" s="781"/>
      <c r="D239" s="409" t="s">
        <v>38</v>
      </c>
      <c r="E239" s="359">
        <f>+E231+E235</f>
        <v>2121113</v>
      </c>
      <c r="F239" s="464"/>
      <c r="G239" s="384"/>
      <c r="H239" s="461"/>
      <c r="I239" s="384"/>
      <c r="J239" s="359">
        <v>2121113</v>
      </c>
      <c r="K239" s="384"/>
      <c r="L239" s="384"/>
      <c r="M239" s="384"/>
      <c r="N239" s="384"/>
      <c r="O239" s="384"/>
      <c r="P239" s="384"/>
      <c r="Q239" s="384"/>
      <c r="R239" s="384"/>
      <c r="S239" s="384"/>
      <c r="T239" s="366">
        <f>+T231+T235</f>
        <v>2121113</v>
      </c>
      <c r="U239" s="366">
        <f t="shared" ref="U239:V239" si="82">+U231+U235</f>
        <v>0</v>
      </c>
      <c r="V239" s="366">
        <f t="shared" si="82"/>
        <v>2121113</v>
      </c>
      <c r="W239" s="416"/>
      <c r="X239" s="416"/>
      <c r="Y239" s="416"/>
      <c r="Z239" s="416"/>
      <c r="AA239" s="416"/>
      <c r="AB239" s="416"/>
      <c r="AC239" s="416"/>
      <c r="AD239" s="416"/>
      <c r="AE239" s="416"/>
      <c r="AF239" s="417"/>
      <c r="AG239" s="417"/>
      <c r="AH239" s="775"/>
    </row>
    <row r="240" spans="1:92" s="481" customFormat="1" x14ac:dyDescent="0.2">
      <c r="A240" s="772">
        <v>22</v>
      </c>
      <c r="B240" s="773" t="s">
        <v>170</v>
      </c>
      <c r="C240" s="774" t="s">
        <v>365</v>
      </c>
      <c r="D240" s="472" t="s">
        <v>34</v>
      </c>
      <c r="E240" s="473"/>
      <c r="F240" s="474"/>
      <c r="G240" s="474"/>
      <c r="H240" s="474"/>
      <c r="I240" s="474"/>
      <c r="J240" s="474"/>
      <c r="K240" s="474"/>
      <c r="L240" s="474"/>
      <c r="M240" s="474"/>
      <c r="N240" s="474"/>
      <c r="O240" s="474"/>
      <c r="P240" s="474"/>
      <c r="Q240" s="474"/>
      <c r="R240" s="474"/>
      <c r="S240" s="474"/>
      <c r="T240" s="475"/>
      <c r="U240" s="476"/>
      <c r="V240" s="473"/>
      <c r="W240" s="473"/>
      <c r="X240" s="473"/>
      <c r="Y240" s="473"/>
      <c r="Z240" s="473"/>
      <c r="AA240" s="473"/>
      <c r="AB240" s="473"/>
      <c r="AC240" s="473"/>
      <c r="AD240" s="473"/>
      <c r="AE240" s="473"/>
      <c r="AF240" s="477"/>
      <c r="AG240" s="477"/>
      <c r="AH240" s="775"/>
      <c r="AI240" s="478"/>
      <c r="AJ240" s="478"/>
      <c r="AK240" s="479"/>
      <c r="AL240" s="479"/>
      <c r="AM240" s="479"/>
      <c r="AN240" s="479"/>
      <c r="AO240" s="479"/>
      <c r="AP240" s="479"/>
      <c r="AQ240" s="479"/>
      <c r="AR240" s="479"/>
      <c r="AS240" s="479"/>
      <c r="AT240" s="480"/>
      <c r="AU240" s="480"/>
      <c r="AV240" s="480"/>
      <c r="AW240" s="478"/>
      <c r="AX240" s="478"/>
      <c r="AY240" s="478"/>
      <c r="AZ240" s="478"/>
      <c r="BA240" s="478"/>
      <c r="BB240" s="478"/>
      <c r="BC240" s="478"/>
      <c r="BD240" s="478"/>
      <c r="BE240" s="478"/>
      <c r="BF240" s="478"/>
      <c r="BG240" s="478"/>
      <c r="BH240" s="478"/>
      <c r="BI240" s="478"/>
      <c r="BJ240" s="478"/>
      <c r="BK240" s="478"/>
      <c r="BL240" s="478"/>
      <c r="BM240" s="478"/>
      <c r="BN240" s="478"/>
      <c r="BO240" s="478"/>
      <c r="BP240" s="478"/>
      <c r="BQ240" s="478"/>
      <c r="BR240" s="478"/>
      <c r="BS240" s="478"/>
      <c r="BT240" s="478"/>
      <c r="BU240" s="478"/>
      <c r="BV240" s="478"/>
      <c r="BW240" s="478"/>
      <c r="BX240" s="478"/>
      <c r="BY240" s="478"/>
      <c r="BZ240" s="478"/>
      <c r="CA240" s="478"/>
      <c r="CB240" s="478"/>
      <c r="CC240" s="478"/>
      <c r="CD240" s="478"/>
      <c r="CE240" s="478"/>
      <c r="CF240" s="478"/>
      <c r="CG240" s="478"/>
      <c r="CH240" s="478"/>
      <c r="CI240" s="478"/>
      <c r="CJ240" s="478"/>
      <c r="CK240" s="478"/>
      <c r="CL240" s="478"/>
      <c r="CM240" s="478"/>
      <c r="CN240" s="478"/>
    </row>
    <row r="241" spans="1:92" s="481" customFormat="1" x14ac:dyDescent="0.2">
      <c r="A241" s="772"/>
      <c r="B241" s="773"/>
      <c r="C241" s="774"/>
      <c r="D241" s="482" t="s">
        <v>36</v>
      </c>
      <c r="E241" s="473"/>
      <c r="F241" s="474"/>
      <c r="G241" s="474"/>
      <c r="H241" s="474"/>
      <c r="I241" s="474"/>
      <c r="J241" s="474"/>
      <c r="K241" s="474"/>
      <c r="L241" s="474"/>
      <c r="M241" s="474"/>
      <c r="N241" s="474"/>
      <c r="O241" s="474"/>
      <c r="P241" s="474"/>
      <c r="Q241" s="474"/>
      <c r="R241" s="474"/>
      <c r="S241" s="474"/>
      <c r="T241" s="475"/>
      <c r="U241" s="476"/>
      <c r="V241" s="473"/>
      <c r="W241" s="473"/>
      <c r="X241" s="473"/>
      <c r="Y241" s="473"/>
      <c r="Z241" s="473"/>
      <c r="AA241" s="473"/>
      <c r="AB241" s="473"/>
      <c r="AC241" s="473"/>
      <c r="AD241" s="473"/>
      <c r="AE241" s="473"/>
      <c r="AF241" s="477"/>
      <c r="AG241" s="477"/>
      <c r="AH241" s="775"/>
      <c r="AI241" s="478"/>
      <c r="AJ241" s="478"/>
      <c r="AK241" s="479"/>
      <c r="AL241" s="479"/>
      <c r="AM241" s="479"/>
      <c r="AN241" s="479"/>
      <c r="AO241" s="479"/>
      <c r="AP241" s="479"/>
      <c r="AQ241" s="479"/>
      <c r="AR241" s="479"/>
      <c r="AS241" s="479"/>
      <c r="AT241" s="480"/>
      <c r="AU241" s="480"/>
      <c r="AV241" s="480"/>
      <c r="AW241" s="478"/>
      <c r="AX241" s="478"/>
      <c r="AY241" s="478"/>
      <c r="AZ241" s="478"/>
      <c r="BA241" s="478"/>
      <c r="BB241" s="478"/>
      <c r="BC241" s="478"/>
      <c r="BD241" s="478"/>
      <c r="BE241" s="478"/>
      <c r="BF241" s="478"/>
      <c r="BG241" s="478"/>
      <c r="BH241" s="478"/>
      <c r="BI241" s="478"/>
      <c r="BJ241" s="478"/>
      <c r="BK241" s="478"/>
      <c r="BL241" s="478"/>
      <c r="BM241" s="478"/>
      <c r="BN241" s="478"/>
      <c r="BO241" s="478"/>
      <c r="BP241" s="478"/>
      <c r="BQ241" s="478"/>
      <c r="BR241" s="478"/>
      <c r="BS241" s="478"/>
      <c r="BT241" s="478"/>
      <c r="BU241" s="478"/>
      <c r="BV241" s="478"/>
      <c r="BW241" s="478"/>
      <c r="BX241" s="478"/>
      <c r="BY241" s="478"/>
      <c r="BZ241" s="478"/>
      <c r="CA241" s="478"/>
      <c r="CB241" s="478"/>
      <c r="CC241" s="478"/>
      <c r="CD241" s="478"/>
      <c r="CE241" s="478"/>
      <c r="CF241" s="478"/>
      <c r="CG241" s="478"/>
      <c r="CH241" s="478"/>
      <c r="CI241" s="478"/>
      <c r="CJ241" s="478"/>
      <c r="CK241" s="478"/>
      <c r="CL241" s="478"/>
      <c r="CM241" s="478"/>
      <c r="CN241" s="478"/>
    </row>
    <row r="242" spans="1:92" s="481" customFormat="1" x14ac:dyDescent="0.2">
      <c r="A242" s="772"/>
      <c r="B242" s="773"/>
      <c r="C242" s="774"/>
      <c r="D242" s="482" t="s">
        <v>37</v>
      </c>
      <c r="E242" s="473"/>
      <c r="F242" s="474"/>
      <c r="G242" s="474"/>
      <c r="H242" s="474"/>
      <c r="I242" s="474"/>
      <c r="J242" s="474"/>
      <c r="K242" s="474"/>
      <c r="L242" s="474"/>
      <c r="M242" s="474"/>
      <c r="N242" s="474"/>
      <c r="O242" s="474"/>
      <c r="P242" s="474"/>
      <c r="Q242" s="474"/>
      <c r="R242" s="474"/>
      <c r="S242" s="474"/>
      <c r="T242" s="475"/>
      <c r="U242" s="476"/>
      <c r="V242" s="473"/>
      <c r="W242" s="473"/>
      <c r="X242" s="473"/>
      <c r="Y242" s="473"/>
      <c r="Z242" s="473"/>
      <c r="AA242" s="473"/>
      <c r="AB242" s="473"/>
      <c r="AC242" s="473"/>
      <c r="AD242" s="473"/>
      <c r="AE242" s="473"/>
      <c r="AF242" s="477"/>
      <c r="AG242" s="477"/>
      <c r="AH242" s="775"/>
      <c r="AI242" s="478"/>
      <c r="AJ242" s="478"/>
      <c r="AK242" s="479"/>
      <c r="AL242" s="479"/>
      <c r="AM242" s="479"/>
      <c r="AN242" s="479"/>
      <c r="AO242" s="479"/>
      <c r="AP242" s="479"/>
      <c r="AQ242" s="479"/>
      <c r="AR242" s="479"/>
      <c r="AS242" s="479"/>
      <c r="AT242" s="480"/>
      <c r="AU242" s="480"/>
      <c r="AV242" s="480"/>
      <c r="AW242" s="478"/>
      <c r="AX242" s="478"/>
      <c r="AY242" s="478"/>
      <c r="AZ242" s="478"/>
      <c r="BA242" s="478"/>
      <c r="BB242" s="478"/>
      <c r="BC242" s="478"/>
      <c r="BD242" s="478"/>
      <c r="BE242" s="478"/>
      <c r="BF242" s="478"/>
      <c r="BG242" s="478"/>
      <c r="BH242" s="478"/>
      <c r="BI242" s="478"/>
      <c r="BJ242" s="478"/>
      <c r="BK242" s="478"/>
      <c r="BL242" s="478"/>
      <c r="BM242" s="478"/>
      <c r="BN242" s="478"/>
      <c r="BO242" s="478"/>
      <c r="BP242" s="478"/>
      <c r="BQ242" s="478"/>
      <c r="BR242" s="478"/>
      <c r="BS242" s="478"/>
      <c r="BT242" s="478"/>
      <c r="BU242" s="478"/>
      <c r="BV242" s="478"/>
      <c r="BW242" s="478"/>
      <c r="BX242" s="478"/>
      <c r="BY242" s="478"/>
      <c r="BZ242" s="478"/>
      <c r="CA242" s="478"/>
      <c r="CB242" s="478"/>
      <c r="CC242" s="478"/>
      <c r="CD242" s="478"/>
      <c r="CE242" s="478"/>
      <c r="CF242" s="478"/>
      <c r="CG242" s="478"/>
      <c r="CH242" s="478"/>
      <c r="CI242" s="478"/>
      <c r="CJ242" s="478"/>
      <c r="CK242" s="478"/>
      <c r="CL242" s="478"/>
      <c r="CM242" s="478"/>
      <c r="CN242" s="478"/>
    </row>
    <row r="243" spans="1:92" s="481" customFormat="1" ht="22.5" x14ac:dyDescent="0.2">
      <c r="A243" s="772"/>
      <c r="B243" s="773"/>
      <c r="C243" s="774"/>
      <c r="D243" s="483" t="s">
        <v>38</v>
      </c>
      <c r="E243" s="484"/>
      <c r="F243" s="485"/>
      <c r="G243" s="485"/>
      <c r="H243" s="485"/>
      <c r="I243" s="485"/>
      <c r="J243" s="485"/>
      <c r="K243" s="485"/>
      <c r="L243" s="485"/>
      <c r="M243" s="485"/>
      <c r="N243" s="485"/>
      <c r="O243" s="485"/>
      <c r="P243" s="485"/>
      <c r="Q243" s="485"/>
      <c r="R243" s="485"/>
      <c r="S243" s="485"/>
      <c r="T243" s="486"/>
      <c r="U243" s="487"/>
      <c r="V243" s="484"/>
      <c r="W243" s="473"/>
      <c r="X243" s="473"/>
      <c r="Y243" s="473"/>
      <c r="Z243" s="473"/>
      <c r="AA243" s="473"/>
      <c r="AB243" s="473"/>
      <c r="AC243" s="473"/>
      <c r="AD243" s="473"/>
      <c r="AE243" s="473"/>
      <c r="AF243" s="477"/>
      <c r="AG243" s="477"/>
      <c r="AH243" s="775"/>
      <c r="AI243" s="478"/>
      <c r="AJ243" s="478"/>
      <c r="AK243" s="479"/>
      <c r="AL243" s="479"/>
      <c r="AM243" s="479"/>
      <c r="AN243" s="479"/>
      <c r="AO243" s="479"/>
      <c r="AP243" s="479"/>
      <c r="AQ243" s="479"/>
      <c r="AR243" s="479"/>
      <c r="AS243" s="479"/>
      <c r="AT243" s="480"/>
      <c r="AU243" s="480"/>
      <c r="AV243" s="480"/>
      <c r="AW243" s="478"/>
      <c r="AX243" s="478"/>
      <c r="AY243" s="478"/>
      <c r="AZ243" s="478"/>
      <c r="BA243" s="478"/>
      <c r="BB243" s="478"/>
      <c r="BC243" s="478"/>
      <c r="BD243" s="478"/>
      <c r="BE243" s="478"/>
      <c r="BF243" s="478"/>
      <c r="BG243" s="478"/>
      <c r="BH243" s="478"/>
      <c r="BI243" s="478"/>
      <c r="BJ243" s="478"/>
      <c r="BK243" s="478"/>
      <c r="BL243" s="478"/>
      <c r="BM243" s="478"/>
      <c r="BN243" s="478"/>
      <c r="BO243" s="478"/>
      <c r="BP243" s="478"/>
      <c r="BQ243" s="478"/>
      <c r="BR243" s="478"/>
      <c r="BS243" s="478"/>
      <c r="BT243" s="478"/>
      <c r="BU243" s="478"/>
      <c r="BV243" s="478"/>
      <c r="BW243" s="478"/>
      <c r="BX243" s="478"/>
      <c r="BY243" s="478"/>
      <c r="BZ243" s="478"/>
      <c r="CA243" s="478"/>
      <c r="CB243" s="478"/>
      <c r="CC243" s="478"/>
      <c r="CD243" s="478"/>
      <c r="CE243" s="478"/>
      <c r="CF243" s="478"/>
      <c r="CG243" s="478"/>
      <c r="CH243" s="478"/>
      <c r="CI243" s="478"/>
      <c r="CJ243" s="478"/>
      <c r="CK243" s="478"/>
      <c r="CL243" s="478"/>
      <c r="CM243" s="478"/>
      <c r="CN243" s="478"/>
    </row>
    <row r="244" spans="1:92" ht="22.5" x14ac:dyDescent="0.2">
      <c r="D244" s="488" t="s">
        <v>591</v>
      </c>
      <c r="E244" s="489">
        <f>+E8+E12+E16+E20+E24+E32+E36+E40+E44+E48+E52+E56+E60+E64+E72+E76+E80+E84+E88+E96+E100+E104+E108+E112+E116+E124+E128+E132+E136+E140+E148+E152+E163+E168+E177+E181+E185+E189+E193+E201+E205+E209+E217+E221+E225+E229+E233+E241</f>
        <v>14500000000</v>
      </c>
      <c r="F244" s="488">
        <f t="shared" ref="F244:V244" si="83">+F8+F12+F16+F20+F24+F32+F36+F40+F44+F48+F52+F56+F60+F64+F72+F76+F80+F84+F88+F96+F100+F104+F108+F112+F116+F124+F128+F132+F136+F140+F148+F152+F163+F168+F177+F181+F185+F189+F193+F201+F205+F209+F217+F221+F225+F229+F233+F241</f>
        <v>12801177000</v>
      </c>
      <c r="G244" s="488">
        <f t="shared" si="83"/>
        <v>12801177000</v>
      </c>
      <c r="H244" s="488">
        <f t="shared" si="83"/>
        <v>12801177000</v>
      </c>
      <c r="I244" s="488">
        <f t="shared" si="83"/>
        <v>12801177000</v>
      </c>
      <c r="J244" s="489">
        <v>14320557070</v>
      </c>
      <c r="K244" s="488">
        <f t="shared" si="83"/>
        <v>0</v>
      </c>
      <c r="L244" s="488">
        <f t="shared" si="83"/>
        <v>0</v>
      </c>
      <c r="M244" s="488">
        <f t="shared" si="83"/>
        <v>0</v>
      </c>
      <c r="N244" s="488">
        <f t="shared" si="83"/>
        <v>0</v>
      </c>
      <c r="O244" s="488">
        <f t="shared" si="83"/>
        <v>0</v>
      </c>
      <c r="P244" s="488">
        <f t="shared" si="83"/>
        <v>0</v>
      </c>
      <c r="Q244" s="488">
        <f t="shared" si="83"/>
        <v>0</v>
      </c>
      <c r="R244" s="488">
        <f t="shared" si="83"/>
        <v>0</v>
      </c>
      <c r="S244" s="488">
        <f t="shared" si="83"/>
        <v>0</v>
      </c>
      <c r="T244" s="489">
        <f t="shared" si="83"/>
        <v>1160657104</v>
      </c>
      <c r="U244" s="488">
        <f t="shared" si="83"/>
        <v>0</v>
      </c>
      <c r="V244" s="489">
        <f t="shared" si="83"/>
        <v>3290618246</v>
      </c>
      <c r="W244" s="490"/>
      <c r="X244" s="490"/>
      <c r="Y244" s="490"/>
      <c r="Z244" s="490"/>
      <c r="AA244" s="465"/>
      <c r="AB244" s="465"/>
      <c r="AC244" s="465"/>
      <c r="AD244" s="465"/>
      <c r="AE244" s="465"/>
      <c r="AF244" s="491"/>
      <c r="AG244" s="491"/>
      <c r="AH244" s="492"/>
    </row>
    <row r="245" spans="1:92" ht="22.5" x14ac:dyDescent="0.2">
      <c r="D245" s="488" t="s">
        <v>592</v>
      </c>
      <c r="E245" s="489">
        <f>+E10+E14+E18+E22+E26+E34+E38+E42+E46+E50+E54+E58+E62+E66+E74+E78+E82+E86+E90+E98+E102+E106+E110+E114+E118+E126+E130+E134+E138+E142+E150+E154+E165+E170+E179+E183+E187+E191+E195+E203+E207+E211+E219+E223+E227+E231+E235+E243</f>
        <v>4956874448.333334</v>
      </c>
      <c r="F245" s="488">
        <f t="shared" ref="F245:U245" si="84">+F10+F14+F18+F22+F26+F34+F38+F42+F46+F50+F54+F58+F62+F66+F74+F78+F82+F86+F90+F98+F102+F106+F110+F114+F118+F126+F130+F134+F138+F142+F150+F154+F165+F170+F179+F183+F187+F191+F195+F203+F207+F211+F219+F223+F227+F231+F235+F243</f>
        <v>4101121080.3333335</v>
      </c>
      <c r="G245" s="488">
        <f t="shared" si="84"/>
        <v>4101121080.3333335</v>
      </c>
      <c r="H245" s="488">
        <f t="shared" si="84"/>
        <v>4101121080.3333335</v>
      </c>
      <c r="I245" s="488">
        <f t="shared" si="84"/>
        <v>4101121080.3333335</v>
      </c>
      <c r="J245" s="489">
        <v>4956537982.003334</v>
      </c>
      <c r="K245" s="488">
        <f t="shared" si="84"/>
        <v>0</v>
      </c>
      <c r="L245" s="488">
        <f t="shared" si="84"/>
        <v>0</v>
      </c>
      <c r="M245" s="488">
        <f t="shared" si="84"/>
        <v>0</v>
      </c>
      <c r="N245" s="488">
        <f t="shared" si="84"/>
        <v>0</v>
      </c>
      <c r="O245" s="488">
        <f t="shared" si="84"/>
        <v>0</v>
      </c>
      <c r="P245" s="488">
        <f t="shared" si="84"/>
        <v>0</v>
      </c>
      <c r="Q245" s="488">
        <f t="shared" si="84"/>
        <v>0</v>
      </c>
      <c r="R245" s="488">
        <f t="shared" si="84"/>
        <v>0</v>
      </c>
      <c r="S245" s="488">
        <f t="shared" si="84"/>
        <v>0</v>
      </c>
      <c r="T245" s="489">
        <f t="shared" si="84"/>
        <v>1880086475.0000005</v>
      </c>
      <c r="U245" s="488">
        <f t="shared" si="84"/>
        <v>38400117</v>
      </c>
      <c r="V245" s="489">
        <f>+V10+V14+V18+V22+V26+V34+V38+V42+V46+V50+V54+V58+V62+V66+V74+V78+V82+V86+V90+V98+V102+V106+V110+V114+V118+V126+V130+V134+V138+V142+V150+V154+V165+V170+V179+V183+V187+V191+V195+V203+V207+V211+V219+V223+V227+V231+V235+V243</f>
        <v>2908991636.0000005</v>
      </c>
      <c r="W245" s="490"/>
      <c r="X245" s="490"/>
      <c r="Y245" s="490"/>
      <c r="Z245" s="490"/>
      <c r="AA245" s="465"/>
      <c r="AB245" s="465"/>
      <c r="AC245" s="465"/>
      <c r="AD245" s="465"/>
      <c r="AE245" s="465"/>
      <c r="AF245" s="491"/>
      <c r="AG245" s="491"/>
      <c r="AH245" s="492"/>
    </row>
    <row r="246" spans="1:92" ht="34.5" thickBot="1" x14ac:dyDescent="0.25">
      <c r="D246" s="488" t="s">
        <v>593</v>
      </c>
      <c r="E246" s="489">
        <f>+E244+E245</f>
        <v>19456874448.333336</v>
      </c>
      <c r="F246" s="488" t="s">
        <v>593</v>
      </c>
      <c r="G246" s="488" t="s">
        <v>593</v>
      </c>
      <c r="H246" s="488" t="s">
        <v>593</v>
      </c>
      <c r="I246" s="488" t="s">
        <v>593</v>
      </c>
      <c r="J246" s="489">
        <v>19277095052.003334</v>
      </c>
      <c r="K246" s="488" t="s">
        <v>593</v>
      </c>
      <c r="L246" s="488" t="s">
        <v>593</v>
      </c>
      <c r="M246" s="488" t="s">
        <v>593</v>
      </c>
      <c r="N246" s="488" t="s">
        <v>593</v>
      </c>
      <c r="O246" s="488" t="s">
        <v>593</v>
      </c>
      <c r="P246" s="488" t="s">
        <v>593</v>
      </c>
      <c r="Q246" s="488" t="s">
        <v>593</v>
      </c>
      <c r="R246" s="488" t="s">
        <v>593</v>
      </c>
      <c r="S246" s="488" t="s">
        <v>593</v>
      </c>
      <c r="T246" s="489">
        <f>+T244+T245</f>
        <v>3040743579.0000005</v>
      </c>
      <c r="U246" s="488" t="s">
        <v>593</v>
      </c>
      <c r="V246" s="489">
        <f>+V244+V245</f>
        <v>6199609882</v>
      </c>
      <c r="W246" s="493"/>
      <c r="X246" s="493"/>
      <c r="Y246" s="493"/>
      <c r="Z246" s="493"/>
      <c r="AA246" s="493"/>
      <c r="AB246" s="493"/>
      <c r="AC246" s="493"/>
      <c r="AD246" s="776"/>
      <c r="AE246" s="776"/>
      <c r="AF246" s="776"/>
      <c r="AG246" s="776"/>
      <c r="AH246" s="777"/>
    </row>
    <row r="247" spans="1:92" ht="18" x14ac:dyDescent="0.2">
      <c r="E247" s="494"/>
      <c r="F247" s="495"/>
      <c r="G247" s="495"/>
      <c r="H247" s="495"/>
      <c r="I247" s="495"/>
      <c r="J247" s="495"/>
      <c r="K247" s="495"/>
      <c r="L247" s="495"/>
      <c r="M247" s="495"/>
      <c r="N247" s="495"/>
      <c r="O247" s="495"/>
      <c r="P247" s="495"/>
      <c r="Q247" s="495"/>
      <c r="R247" s="495"/>
      <c r="S247" s="495"/>
      <c r="T247" s="496"/>
      <c r="U247" s="497"/>
      <c r="V247" s="494"/>
      <c r="AE247" s="778"/>
      <c r="AF247" s="778"/>
      <c r="AG247" s="778"/>
      <c r="AH247" s="778"/>
    </row>
    <row r="248" spans="1:92" ht="15.75" x14ac:dyDescent="0.25">
      <c r="E248" s="494"/>
      <c r="F248" s="495"/>
      <c r="G248" s="495"/>
      <c r="H248" s="495"/>
      <c r="I248" s="495"/>
      <c r="J248" s="495"/>
      <c r="K248" s="495"/>
      <c r="L248" s="495"/>
      <c r="M248" s="495"/>
      <c r="N248" s="495"/>
      <c r="O248" s="495"/>
      <c r="P248" s="495"/>
      <c r="Q248" s="495"/>
      <c r="R248" s="495"/>
      <c r="S248" s="495"/>
      <c r="T248" s="496"/>
      <c r="U248" s="497"/>
      <c r="V248" s="494"/>
      <c r="AD248" s="771" t="s">
        <v>395</v>
      </c>
      <c r="AE248" s="771"/>
      <c r="AF248" s="771"/>
      <c r="AG248" s="771"/>
      <c r="AH248" s="771"/>
    </row>
  </sheetData>
  <mergeCells count="720">
    <mergeCell ref="A1:D4"/>
    <mergeCell ref="E1:AH1"/>
    <mergeCell ref="E2:AH2"/>
    <mergeCell ref="E3:F3"/>
    <mergeCell ref="G3:V3"/>
    <mergeCell ref="W3:AS3"/>
    <mergeCell ref="E4:F4"/>
    <mergeCell ref="G4:V4"/>
    <mergeCell ref="W4:AS4"/>
    <mergeCell ref="R5:V5"/>
    <mergeCell ref="W5:AA5"/>
    <mergeCell ref="AB5:AG5"/>
    <mergeCell ref="AH5:AH6"/>
    <mergeCell ref="A7:A10"/>
    <mergeCell ref="B7:B10"/>
    <mergeCell ref="C7:C10"/>
    <mergeCell ref="W7:W10"/>
    <mergeCell ref="X7:X10"/>
    <mergeCell ref="Y7:Y10"/>
    <mergeCell ref="A5:A6"/>
    <mergeCell ref="B5:B6"/>
    <mergeCell ref="C5:C6"/>
    <mergeCell ref="D5:D6"/>
    <mergeCell ref="E5:E6"/>
    <mergeCell ref="F5:Q5"/>
    <mergeCell ref="AF7:AF10"/>
    <mergeCell ref="AG7:AG10"/>
    <mergeCell ref="AH7:AH10"/>
    <mergeCell ref="A11:A30"/>
    <mergeCell ref="B11:B30"/>
    <mergeCell ref="C11:C14"/>
    <mergeCell ref="W11:W14"/>
    <mergeCell ref="X11:X14"/>
    <mergeCell ref="Y11:Y14"/>
    <mergeCell ref="Z11:Z14"/>
    <mergeCell ref="Z7:Z10"/>
    <mergeCell ref="AA7:AA10"/>
    <mergeCell ref="AB7:AB10"/>
    <mergeCell ref="AC7:AC10"/>
    <mergeCell ref="AD7:AD10"/>
    <mergeCell ref="AE7:AE10"/>
    <mergeCell ref="AG11:AG14"/>
    <mergeCell ref="AH11:AH14"/>
    <mergeCell ref="C15:C18"/>
    <mergeCell ref="W15:W18"/>
    <mergeCell ref="X15:X18"/>
    <mergeCell ref="Y15:Y18"/>
    <mergeCell ref="Z15:Z18"/>
    <mergeCell ref="AA15:AA18"/>
    <mergeCell ref="AB15:AB18"/>
    <mergeCell ref="AC15:AC18"/>
    <mergeCell ref="AA11:AA14"/>
    <mergeCell ref="AB11:AB14"/>
    <mergeCell ref="AC11:AC14"/>
    <mergeCell ref="AD11:AD14"/>
    <mergeCell ref="AE11:AE14"/>
    <mergeCell ref="AF11:AF14"/>
    <mergeCell ref="AD15:AD18"/>
    <mergeCell ref="AE15:AE18"/>
    <mergeCell ref="AF15:AF18"/>
    <mergeCell ref="AG15:AG18"/>
    <mergeCell ref="AH15:AH18"/>
    <mergeCell ref="C19:C22"/>
    <mergeCell ref="W19:W22"/>
    <mergeCell ref="X19:X22"/>
    <mergeCell ref="Y19:Y22"/>
    <mergeCell ref="Z19:Z22"/>
    <mergeCell ref="AG19:AG22"/>
    <mergeCell ref="AH19:AH22"/>
    <mergeCell ref="C23:C26"/>
    <mergeCell ref="W23:W26"/>
    <mergeCell ref="X23:X26"/>
    <mergeCell ref="Y23:Y26"/>
    <mergeCell ref="Z23:Z26"/>
    <mergeCell ref="AA23:AA26"/>
    <mergeCell ref="AB23:AB26"/>
    <mergeCell ref="AC23:AC26"/>
    <mergeCell ref="AA19:AA22"/>
    <mergeCell ref="AB19:AB22"/>
    <mergeCell ref="AC19:AC22"/>
    <mergeCell ref="AD19:AD22"/>
    <mergeCell ref="AE19:AE22"/>
    <mergeCell ref="AF19:AF22"/>
    <mergeCell ref="AD23:AD26"/>
    <mergeCell ref="AE23:AE26"/>
    <mergeCell ref="AF23:AF26"/>
    <mergeCell ref="AG23:AG26"/>
    <mergeCell ref="AH23:AH26"/>
    <mergeCell ref="C27:C30"/>
    <mergeCell ref="W27:W30"/>
    <mergeCell ref="X27:X30"/>
    <mergeCell ref="Y27:Y30"/>
    <mergeCell ref="Z27:Z30"/>
    <mergeCell ref="AA27:AA30"/>
    <mergeCell ref="A31:A34"/>
    <mergeCell ref="B31:B34"/>
    <mergeCell ref="C31:C34"/>
    <mergeCell ref="W31:W34"/>
    <mergeCell ref="X31:X34"/>
    <mergeCell ref="Y31:Y34"/>
    <mergeCell ref="Z31:Z34"/>
    <mergeCell ref="AA31:AA34"/>
    <mergeCell ref="AH31:AH34"/>
    <mergeCell ref="A35:A70"/>
    <mergeCell ref="B35:B70"/>
    <mergeCell ref="C35:C38"/>
    <mergeCell ref="W35:W38"/>
    <mergeCell ref="X35:X38"/>
    <mergeCell ref="Y35:Y38"/>
    <mergeCell ref="Z35:Z38"/>
    <mergeCell ref="AA35:AA38"/>
    <mergeCell ref="AB35:AB38"/>
    <mergeCell ref="AB31:AB34"/>
    <mergeCell ref="AC31:AC34"/>
    <mergeCell ref="AD31:AD34"/>
    <mergeCell ref="AE31:AE34"/>
    <mergeCell ref="AF31:AF34"/>
    <mergeCell ref="AG31:AG34"/>
    <mergeCell ref="AC35:AC38"/>
    <mergeCell ref="AD35:AD38"/>
    <mergeCell ref="AE35:AE38"/>
    <mergeCell ref="AF35:AF38"/>
    <mergeCell ref="AG35:AG38"/>
    <mergeCell ref="C39:C42"/>
    <mergeCell ref="W39:W42"/>
    <mergeCell ref="X39:X42"/>
    <mergeCell ref="Y39:Y42"/>
    <mergeCell ref="Z39:Z42"/>
    <mergeCell ref="AG39:AG42"/>
    <mergeCell ref="C43:C46"/>
    <mergeCell ref="W43:W46"/>
    <mergeCell ref="X43:X46"/>
    <mergeCell ref="Y43:Y46"/>
    <mergeCell ref="Z43:Z46"/>
    <mergeCell ref="AA43:AA46"/>
    <mergeCell ref="AB43:AB46"/>
    <mergeCell ref="AC43:AC46"/>
    <mergeCell ref="AD43:AD46"/>
    <mergeCell ref="AA39:AA42"/>
    <mergeCell ref="AB39:AB42"/>
    <mergeCell ref="AC39:AC42"/>
    <mergeCell ref="AD39:AD42"/>
    <mergeCell ref="AE39:AE42"/>
    <mergeCell ref="AF39:AF42"/>
    <mergeCell ref="AE43:AE46"/>
    <mergeCell ref="AF43:AF46"/>
    <mergeCell ref="AG43:AG46"/>
    <mergeCell ref="C47:C50"/>
    <mergeCell ref="W47:W50"/>
    <mergeCell ref="X47:X50"/>
    <mergeCell ref="Y47:Y50"/>
    <mergeCell ref="Z47:Z50"/>
    <mergeCell ref="AA47:AA50"/>
    <mergeCell ref="AB47:AB50"/>
    <mergeCell ref="AC47:AC50"/>
    <mergeCell ref="AD47:AD50"/>
    <mergeCell ref="AE47:AE50"/>
    <mergeCell ref="AF47:AF50"/>
    <mergeCell ref="AG47:AG50"/>
    <mergeCell ref="C51:C54"/>
    <mergeCell ref="W51:W54"/>
    <mergeCell ref="X51:X54"/>
    <mergeCell ref="Y51:Y54"/>
    <mergeCell ref="Z51:Z54"/>
    <mergeCell ref="AG51:AG54"/>
    <mergeCell ref="C55:C58"/>
    <mergeCell ref="W55:W58"/>
    <mergeCell ref="X55:X58"/>
    <mergeCell ref="Y55:Y58"/>
    <mergeCell ref="Z55:Z58"/>
    <mergeCell ref="AA55:AA58"/>
    <mergeCell ref="AB55:AB58"/>
    <mergeCell ref="AC55:AC58"/>
    <mergeCell ref="AD55:AD58"/>
    <mergeCell ref="AA51:AA54"/>
    <mergeCell ref="AB51:AB54"/>
    <mergeCell ref="AC51:AC54"/>
    <mergeCell ref="AD51:AD54"/>
    <mergeCell ref="AE51:AE54"/>
    <mergeCell ref="AF51:AF54"/>
    <mergeCell ref="AE55:AE58"/>
    <mergeCell ref="AF55:AF58"/>
    <mergeCell ref="AG55:AG58"/>
    <mergeCell ref="C59:C62"/>
    <mergeCell ref="W59:W62"/>
    <mergeCell ref="X59:X62"/>
    <mergeCell ref="Y59:Y62"/>
    <mergeCell ref="Z59:Z62"/>
    <mergeCell ref="AA59:AA62"/>
    <mergeCell ref="AB59:AB62"/>
    <mergeCell ref="AC59:AC62"/>
    <mergeCell ref="AD59:AD62"/>
    <mergeCell ref="AE59:AE62"/>
    <mergeCell ref="AF59:AF62"/>
    <mergeCell ref="AG59:AG62"/>
    <mergeCell ref="C63:C66"/>
    <mergeCell ref="W63:W66"/>
    <mergeCell ref="X63:X66"/>
    <mergeCell ref="Y63:Y66"/>
    <mergeCell ref="Z63:Z66"/>
    <mergeCell ref="AG63:AG66"/>
    <mergeCell ref="C67:C70"/>
    <mergeCell ref="W67:W70"/>
    <mergeCell ref="X67:X70"/>
    <mergeCell ref="Y67:Y70"/>
    <mergeCell ref="Z67:Z70"/>
    <mergeCell ref="AA67:AA70"/>
    <mergeCell ref="AB67:AB70"/>
    <mergeCell ref="AC67:AC70"/>
    <mergeCell ref="AD67:AD70"/>
    <mergeCell ref="AA63:AA66"/>
    <mergeCell ref="AB63:AB66"/>
    <mergeCell ref="AC63:AC66"/>
    <mergeCell ref="AD63:AD66"/>
    <mergeCell ref="AE63:AE66"/>
    <mergeCell ref="AF63:AF66"/>
    <mergeCell ref="AE67:AE70"/>
    <mergeCell ref="AF67:AF70"/>
    <mergeCell ref="AG67:AG70"/>
    <mergeCell ref="A71:A74"/>
    <mergeCell ref="B71:B74"/>
    <mergeCell ref="C71:C74"/>
    <mergeCell ref="W71:W74"/>
    <mergeCell ref="X71:X74"/>
    <mergeCell ref="Y71:Y74"/>
    <mergeCell ref="Z71:Z74"/>
    <mergeCell ref="AG71:AG74"/>
    <mergeCell ref="A75:A94"/>
    <mergeCell ref="B75:B94"/>
    <mergeCell ref="C75:C78"/>
    <mergeCell ref="W75:W78"/>
    <mergeCell ref="X75:X78"/>
    <mergeCell ref="Y75:Y78"/>
    <mergeCell ref="Z75:Z78"/>
    <mergeCell ref="AA75:AA78"/>
    <mergeCell ref="AB75:AB78"/>
    <mergeCell ref="AA71:AA74"/>
    <mergeCell ref="AB71:AB74"/>
    <mergeCell ref="AC71:AC74"/>
    <mergeCell ref="AD71:AD74"/>
    <mergeCell ref="AE71:AE74"/>
    <mergeCell ref="AF71:AF74"/>
    <mergeCell ref="AC75:AC78"/>
    <mergeCell ref="AD75:AD78"/>
    <mergeCell ref="AE75:AE78"/>
    <mergeCell ref="AF75:AF78"/>
    <mergeCell ref="AG75:AG78"/>
    <mergeCell ref="C79:C82"/>
    <mergeCell ref="W79:W82"/>
    <mergeCell ref="X79:X82"/>
    <mergeCell ref="Y79:Y82"/>
    <mergeCell ref="Z79:Z82"/>
    <mergeCell ref="AG79:AG82"/>
    <mergeCell ref="AH79:AH82"/>
    <mergeCell ref="C83:C86"/>
    <mergeCell ref="W83:W86"/>
    <mergeCell ref="X83:X86"/>
    <mergeCell ref="Y83:Y86"/>
    <mergeCell ref="Z83:Z86"/>
    <mergeCell ref="AA83:AA86"/>
    <mergeCell ref="AB83:AB86"/>
    <mergeCell ref="AC83:AC86"/>
    <mergeCell ref="AA79:AA82"/>
    <mergeCell ref="AB79:AB82"/>
    <mergeCell ref="AC79:AC82"/>
    <mergeCell ref="AD79:AD82"/>
    <mergeCell ref="AE79:AE82"/>
    <mergeCell ref="AF79:AF82"/>
    <mergeCell ref="AD83:AD86"/>
    <mergeCell ref="AE83:AE86"/>
    <mergeCell ref="AF83:AF86"/>
    <mergeCell ref="AG83:AG86"/>
    <mergeCell ref="AH83:AH86"/>
    <mergeCell ref="C87:C90"/>
    <mergeCell ref="W87:W90"/>
    <mergeCell ref="X87:X90"/>
    <mergeCell ref="Y87:Y90"/>
    <mergeCell ref="Z87:Z90"/>
    <mergeCell ref="AG87:AG90"/>
    <mergeCell ref="AH87:AH90"/>
    <mergeCell ref="C91:C94"/>
    <mergeCell ref="A95:A98"/>
    <mergeCell ref="B95:B98"/>
    <mergeCell ref="C95:C98"/>
    <mergeCell ref="W95:W98"/>
    <mergeCell ref="X95:X98"/>
    <mergeCell ref="Y95:Y98"/>
    <mergeCell ref="Z95:Z98"/>
    <mergeCell ref="AA87:AA90"/>
    <mergeCell ref="AB87:AB90"/>
    <mergeCell ref="AC87:AC90"/>
    <mergeCell ref="AD87:AD90"/>
    <mergeCell ref="AE87:AE90"/>
    <mergeCell ref="AF87:AF90"/>
    <mergeCell ref="AG95:AG98"/>
    <mergeCell ref="AH95:AH98"/>
    <mergeCell ref="A99:A122"/>
    <mergeCell ref="B99:B122"/>
    <mergeCell ref="C99:C102"/>
    <mergeCell ref="W99:W102"/>
    <mergeCell ref="X99:X102"/>
    <mergeCell ref="Y99:Y102"/>
    <mergeCell ref="Z99:Z102"/>
    <mergeCell ref="AA99:AA102"/>
    <mergeCell ref="AA95:AA98"/>
    <mergeCell ref="AB95:AB98"/>
    <mergeCell ref="AC95:AC98"/>
    <mergeCell ref="AD95:AD98"/>
    <mergeCell ref="AE95:AE98"/>
    <mergeCell ref="AF95:AF98"/>
    <mergeCell ref="AH99:AH102"/>
    <mergeCell ref="C103:C106"/>
    <mergeCell ref="W103:W106"/>
    <mergeCell ref="X103:X106"/>
    <mergeCell ref="Y103:Y106"/>
    <mergeCell ref="Z103:Z106"/>
    <mergeCell ref="AA103:AA106"/>
    <mergeCell ref="AB103:AB106"/>
    <mergeCell ref="AC103:AC106"/>
    <mergeCell ref="AD103:AD106"/>
    <mergeCell ref="AB99:AB102"/>
    <mergeCell ref="AC99:AC102"/>
    <mergeCell ref="AD99:AD102"/>
    <mergeCell ref="AE99:AE102"/>
    <mergeCell ref="AF99:AF102"/>
    <mergeCell ref="AG99:AG102"/>
    <mergeCell ref="AE103:AE106"/>
    <mergeCell ref="AF103:AF106"/>
    <mergeCell ref="AG103:AG106"/>
    <mergeCell ref="AH103:AH106"/>
    <mergeCell ref="C107:C110"/>
    <mergeCell ref="W107:W110"/>
    <mergeCell ref="X107:X110"/>
    <mergeCell ref="Y107:Y110"/>
    <mergeCell ref="Z107:Z110"/>
    <mergeCell ref="AA107:AA110"/>
    <mergeCell ref="AH107:AH110"/>
    <mergeCell ref="C111:C114"/>
    <mergeCell ref="W111:W114"/>
    <mergeCell ref="X111:X114"/>
    <mergeCell ref="Y111:Y114"/>
    <mergeCell ref="Z111:Z114"/>
    <mergeCell ref="AA111:AA114"/>
    <mergeCell ref="AB111:AB114"/>
    <mergeCell ref="AC111:AC114"/>
    <mergeCell ref="AD111:AD114"/>
    <mergeCell ref="AB107:AB110"/>
    <mergeCell ref="AC107:AC110"/>
    <mergeCell ref="AD107:AD110"/>
    <mergeCell ref="AE107:AE110"/>
    <mergeCell ref="AF107:AF110"/>
    <mergeCell ref="AG107:AG110"/>
    <mergeCell ref="AE111:AE114"/>
    <mergeCell ref="AF111:AF114"/>
    <mergeCell ref="AG111:AG114"/>
    <mergeCell ref="AH111:AH114"/>
    <mergeCell ref="C115:C118"/>
    <mergeCell ref="W115:W118"/>
    <mergeCell ref="X115:X118"/>
    <mergeCell ref="Y115:Y118"/>
    <mergeCell ref="Z115:Z118"/>
    <mergeCell ref="AA115:AA118"/>
    <mergeCell ref="AH115:AH118"/>
    <mergeCell ref="C119:C122"/>
    <mergeCell ref="A123:A146"/>
    <mergeCell ref="B123:B146"/>
    <mergeCell ref="C123:C126"/>
    <mergeCell ref="W123:W126"/>
    <mergeCell ref="X123:X126"/>
    <mergeCell ref="Y123:Y126"/>
    <mergeCell ref="Z123:Z126"/>
    <mergeCell ref="AA123:AA126"/>
    <mergeCell ref="AB115:AB118"/>
    <mergeCell ref="AC115:AC118"/>
    <mergeCell ref="AD115:AD118"/>
    <mergeCell ref="AE115:AE118"/>
    <mergeCell ref="AF115:AF118"/>
    <mergeCell ref="AG115:AG118"/>
    <mergeCell ref="AH123:AH126"/>
    <mergeCell ref="C127:C130"/>
    <mergeCell ref="W127:W130"/>
    <mergeCell ref="X127:X130"/>
    <mergeCell ref="Y127:Y130"/>
    <mergeCell ref="Z127:Z130"/>
    <mergeCell ref="AA127:AA130"/>
    <mergeCell ref="AB127:AB130"/>
    <mergeCell ref="AC127:AC130"/>
    <mergeCell ref="AD127:AD130"/>
    <mergeCell ref="AB123:AB126"/>
    <mergeCell ref="AC123:AC126"/>
    <mergeCell ref="AD123:AD126"/>
    <mergeCell ref="AE123:AE126"/>
    <mergeCell ref="AF123:AF126"/>
    <mergeCell ref="AG123:AG126"/>
    <mergeCell ref="AE127:AE130"/>
    <mergeCell ref="AF127:AF130"/>
    <mergeCell ref="AG127:AG130"/>
    <mergeCell ref="AH127:AH130"/>
    <mergeCell ref="C131:C134"/>
    <mergeCell ref="W131:W134"/>
    <mergeCell ref="X131:X134"/>
    <mergeCell ref="Y131:Y134"/>
    <mergeCell ref="Z131:Z134"/>
    <mergeCell ref="AA131:AA134"/>
    <mergeCell ref="AG135:AG138"/>
    <mergeCell ref="AH135:AH138"/>
    <mergeCell ref="C139:C142"/>
    <mergeCell ref="C143:C146"/>
    <mergeCell ref="AH131:AH134"/>
    <mergeCell ref="C135:C138"/>
    <mergeCell ref="W135:W138"/>
    <mergeCell ref="X135:X138"/>
    <mergeCell ref="Y135:Y138"/>
    <mergeCell ref="Z135:Z138"/>
    <mergeCell ref="AA135:AA138"/>
    <mergeCell ref="AB135:AB138"/>
    <mergeCell ref="AC135:AC138"/>
    <mergeCell ref="AD135:AD138"/>
    <mergeCell ref="AB131:AB134"/>
    <mergeCell ref="AC131:AC134"/>
    <mergeCell ref="AD131:AD134"/>
    <mergeCell ref="AE131:AE134"/>
    <mergeCell ref="AF131:AF134"/>
    <mergeCell ref="AG131:AG134"/>
    <mergeCell ref="A147:A158"/>
    <mergeCell ref="B147:B158"/>
    <mergeCell ref="C147:C150"/>
    <mergeCell ref="W147:W150"/>
    <mergeCell ref="X147:X150"/>
    <mergeCell ref="Y147:Y150"/>
    <mergeCell ref="C155:C158"/>
    <mergeCell ref="AE135:AE138"/>
    <mergeCell ref="AF135:AF138"/>
    <mergeCell ref="C151:C154"/>
    <mergeCell ref="W151:W154"/>
    <mergeCell ref="X151:X154"/>
    <mergeCell ref="Y151:Y154"/>
    <mergeCell ref="Z151:Z154"/>
    <mergeCell ref="AA151:AA154"/>
    <mergeCell ref="AB151:AB154"/>
    <mergeCell ref="Z147:Z150"/>
    <mergeCell ref="AA147:AA150"/>
    <mergeCell ref="AB147:AB150"/>
    <mergeCell ref="AC151:AC154"/>
    <mergeCell ref="AD151:AD154"/>
    <mergeCell ref="AE151:AE154"/>
    <mergeCell ref="AF151:AF154"/>
    <mergeCell ref="AG151:AG154"/>
    <mergeCell ref="AH151:AH154"/>
    <mergeCell ref="AF147:AF150"/>
    <mergeCell ref="AG147:AG150"/>
    <mergeCell ref="AH147:AH150"/>
    <mergeCell ref="AC147:AC150"/>
    <mergeCell ref="AD147:AD150"/>
    <mergeCell ref="AE147:AE150"/>
    <mergeCell ref="AH155:AH158"/>
    <mergeCell ref="B159:B175"/>
    <mergeCell ref="C159:C165"/>
    <mergeCell ref="D159:D162"/>
    <mergeCell ref="E159:E162"/>
    <mergeCell ref="F159:F162"/>
    <mergeCell ref="G159:G162"/>
    <mergeCell ref="H159:H162"/>
    <mergeCell ref="I159:I162"/>
    <mergeCell ref="J159:J162"/>
    <mergeCell ref="AF159:AF165"/>
    <mergeCell ref="AG159:AG165"/>
    <mergeCell ref="AH159:AH175"/>
    <mergeCell ref="A162:A171"/>
    <mergeCell ref="X162:X165"/>
    <mergeCell ref="Y162:Y165"/>
    <mergeCell ref="Z162:Z165"/>
    <mergeCell ref="AB162:AB165"/>
    <mergeCell ref="AC162:AC165"/>
    <mergeCell ref="C166:C171"/>
    <mergeCell ref="T159:T162"/>
    <mergeCell ref="V159:V162"/>
    <mergeCell ref="W159:W165"/>
    <mergeCell ref="AA159:AA165"/>
    <mergeCell ref="AD159:AD165"/>
    <mergeCell ref="AE159:AE165"/>
    <mergeCell ref="AF167:AF175"/>
    <mergeCell ref="AG167:AG175"/>
    <mergeCell ref="D170:D171"/>
    <mergeCell ref="E170:E171"/>
    <mergeCell ref="F170:F171"/>
    <mergeCell ref="G170:G171"/>
    <mergeCell ref="H170:H171"/>
    <mergeCell ref="W166:W175"/>
    <mergeCell ref="X167:X175"/>
    <mergeCell ref="Y167:Y175"/>
    <mergeCell ref="Z167:Z175"/>
    <mergeCell ref="AA167:AA175"/>
    <mergeCell ref="AB167:AB175"/>
    <mergeCell ref="Q166:Q167"/>
    <mergeCell ref="R166:R167"/>
    <mergeCell ref="S166:S167"/>
    <mergeCell ref="T166:T167"/>
    <mergeCell ref="U166:U167"/>
    <mergeCell ref="V166:V167"/>
    <mergeCell ref="K166:K167"/>
    <mergeCell ref="L166:L167"/>
    <mergeCell ref="M166:M167"/>
    <mergeCell ref="N166:N167"/>
    <mergeCell ref="O166:O167"/>
    <mergeCell ref="I170:I171"/>
    <mergeCell ref="J170:J171"/>
    <mergeCell ref="T170:T171"/>
    <mergeCell ref="V170:V171"/>
    <mergeCell ref="A172:A175"/>
    <mergeCell ref="C172:C175"/>
    <mergeCell ref="AC167:AC175"/>
    <mergeCell ref="AD167:AD175"/>
    <mergeCell ref="AE167:AE175"/>
    <mergeCell ref="P166:P167"/>
    <mergeCell ref="E166:E167"/>
    <mergeCell ref="F166:F167"/>
    <mergeCell ref="G166:G167"/>
    <mergeCell ref="H166:H167"/>
    <mergeCell ref="I166:I167"/>
    <mergeCell ref="J166:J167"/>
    <mergeCell ref="AF176:AF179"/>
    <mergeCell ref="AG176:AG179"/>
    <mergeCell ref="AH176:AH179"/>
    <mergeCell ref="A180:A183"/>
    <mergeCell ref="B180:B183"/>
    <mergeCell ref="C180:C183"/>
    <mergeCell ref="W180:W183"/>
    <mergeCell ref="X180:X183"/>
    <mergeCell ref="Y180:Y183"/>
    <mergeCell ref="Z180:Z183"/>
    <mergeCell ref="Z176:Z179"/>
    <mergeCell ref="AA176:AA179"/>
    <mergeCell ref="AB176:AB179"/>
    <mergeCell ref="AC176:AC179"/>
    <mergeCell ref="AD176:AD179"/>
    <mergeCell ref="AE176:AE179"/>
    <mergeCell ref="A176:A179"/>
    <mergeCell ref="B176:B179"/>
    <mergeCell ref="C176:C179"/>
    <mergeCell ref="W176:W179"/>
    <mergeCell ref="X176:X179"/>
    <mergeCell ref="Y176:Y179"/>
    <mergeCell ref="AG180:AG183"/>
    <mergeCell ref="AH180:AH183"/>
    <mergeCell ref="A184:A199"/>
    <mergeCell ref="B184:B199"/>
    <mergeCell ref="C184:C187"/>
    <mergeCell ref="W184:W187"/>
    <mergeCell ref="X184:X187"/>
    <mergeCell ref="Y184:Y187"/>
    <mergeCell ref="Z184:Z187"/>
    <mergeCell ref="AA184:AA187"/>
    <mergeCell ref="AA180:AA183"/>
    <mergeCell ref="AB180:AB183"/>
    <mergeCell ref="AC180:AC183"/>
    <mergeCell ref="AD180:AD183"/>
    <mergeCell ref="AE180:AE183"/>
    <mergeCell ref="AF180:AF183"/>
    <mergeCell ref="AH184:AH187"/>
    <mergeCell ref="C188:C191"/>
    <mergeCell ref="W188:W191"/>
    <mergeCell ref="X188:X191"/>
    <mergeCell ref="Y188:Y191"/>
    <mergeCell ref="Z188:Z191"/>
    <mergeCell ref="AA188:AA191"/>
    <mergeCell ref="AB188:AB191"/>
    <mergeCell ref="AC188:AC191"/>
    <mergeCell ref="AD188:AD191"/>
    <mergeCell ref="AB184:AB187"/>
    <mergeCell ref="AC184:AC187"/>
    <mergeCell ref="AD184:AD187"/>
    <mergeCell ref="AE184:AE187"/>
    <mergeCell ref="AF184:AF187"/>
    <mergeCell ref="AG184:AG187"/>
    <mergeCell ref="AE188:AE191"/>
    <mergeCell ref="AF188:AF191"/>
    <mergeCell ref="AG188:AG191"/>
    <mergeCell ref="AH188:AH191"/>
    <mergeCell ref="C192:C195"/>
    <mergeCell ref="W192:W195"/>
    <mergeCell ref="X192:X195"/>
    <mergeCell ref="Y192:Y195"/>
    <mergeCell ref="Z192:Z195"/>
    <mergeCell ref="AA192:AA195"/>
    <mergeCell ref="AH192:AH195"/>
    <mergeCell ref="C196:C199"/>
    <mergeCell ref="AH196:AH199"/>
    <mergeCell ref="A200:A215"/>
    <mergeCell ref="B200:B215"/>
    <mergeCell ref="C200:C203"/>
    <mergeCell ref="W200:W203"/>
    <mergeCell ref="X200:X203"/>
    <mergeCell ref="Y200:Y203"/>
    <mergeCell ref="Z200:Z203"/>
    <mergeCell ref="AB192:AB195"/>
    <mergeCell ref="AC192:AC195"/>
    <mergeCell ref="AD192:AD195"/>
    <mergeCell ref="AE192:AE195"/>
    <mergeCell ref="AF192:AF195"/>
    <mergeCell ref="AG192:AG195"/>
    <mergeCell ref="AG200:AG203"/>
    <mergeCell ref="AH200:AH203"/>
    <mergeCell ref="C204:C207"/>
    <mergeCell ref="W204:W207"/>
    <mergeCell ref="X204:X207"/>
    <mergeCell ref="Y204:Y207"/>
    <mergeCell ref="Z204:Z207"/>
    <mergeCell ref="AA204:AA207"/>
    <mergeCell ref="AB204:AB207"/>
    <mergeCell ref="AC204:AC207"/>
    <mergeCell ref="AA200:AA203"/>
    <mergeCell ref="AB200:AB203"/>
    <mergeCell ref="AC200:AC203"/>
    <mergeCell ref="AD200:AD203"/>
    <mergeCell ref="AE200:AE203"/>
    <mergeCell ref="AF200:AF203"/>
    <mergeCell ref="AD204:AD207"/>
    <mergeCell ref="AE204:AE207"/>
    <mergeCell ref="AF204:AF207"/>
    <mergeCell ref="AG204:AG207"/>
    <mergeCell ref="AH204:AH207"/>
    <mergeCell ref="C208:C211"/>
    <mergeCell ref="W208:W211"/>
    <mergeCell ref="X208:X211"/>
    <mergeCell ref="Y208:Y211"/>
    <mergeCell ref="Z208:Z211"/>
    <mergeCell ref="AG208:AG211"/>
    <mergeCell ref="AH208:AH211"/>
    <mergeCell ref="AI208:AI211"/>
    <mergeCell ref="C212:C215"/>
    <mergeCell ref="AH212:AH215"/>
    <mergeCell ref="A216:A219"/>
    <mergeCell ref="B216:B219"/>
    <mergeCell ref="C216:C219"/>
    <mergeCell ref="W216:W219"/>
    <mergeCell ref="X216:X219"/>
    <mergeCell ref="AA208:AA211"/>
    <mergeCell ref="AB208:AB211"/>
    <mergeCell ref="AC208:AC211"/>
    <mergeCell ref="AD208:AD211"/>
    <mergeCell ref="AE208:AE211"/>
    <mergeCell ref="AF208:AF211"/>
    <mergeCell ref="AE216:AE219"/>
    <mergeCell ref="AF216:AF219"/>
    <mergeCell ref="AG216:AG219"/>
    <mergeCell ref="AH216:AH219"/>
    <mergeCell ref="A220:A223"/>
    <mergeCell ref="B220:B223"/>
    <mergeCell ref="C220:C223"/>
    <mergeCell ref="W220:W223"/>
    <mergeCell ref="X220:X223"/>
    <mergeCell ref="Y220:Y223"/>
    <mergeCell ref="Y216:Y219"/>
    <mergeCell ref="Z216:Z219"/>
    <mergeCell ref="AA216:AA219"/>
    <mergeCell ref="AB216:AB219"/>
    <mergeCell ref="AC216:AC219"/>
    <mergeCell ref="AD216:AD219"/>
    <mergeCell ref="AF220:AF223"/>
    <mergeCell ref="AG220:AG223"/>
    <mergeCell ref="AH220:AH223"/>
    <mergeCell ref="A224:A227"/>
    <mergeCell ref="B224:B227"/>
    <mergeCell ref="C224:C227"/>
    <mergeCell ref="W224:W227"/>
    <mergeCell ref="X224:X227"/>
    <mergeCell ref="Y224:Y227"/>
    <mergeCell ref="Z224:Z227"/>
    <mergeCell ref="Z220:Z223"/>
    <mergeCell ref="AA220:AA223"/>
    <mergeCell ref="AB220:AB223"/>
    <mergeCell ref="AC220:AC223"/>
    <mergeCell ref="AD220:AD223"/>
    <mergeCell ref="AE220:AE223"/>
    <mergeCell ref="AG224:AG227"/>
    <mergeCell ref="AH224:AH227"/>
    <mergeCell ref="A228:A239"/>
    <mergeCell ref="B228:B239"/>
    <mergeCell ref="C228:C231"/>
    <mergeCell ref="W228:W231"/>
    <mergeCell ref="X228:X231"/>
    <mergeCell ref="Y228:Y231"/>
    <mergeCell ref="Z228:Z231"/>
    <mergeCell ref="AA228:AA231"/>
    <mergeCell ref="AA224:AA227"/>
    <mergeCell ref="AB224:AB227"/>
    <mergeCell ref="AC224:AC227"/>
    <mergeCell ref="AD224:AD227"/>
    <mergeCell ref="AE224:AE227"/>
    <mergeCell ref="AF224:AF227"/>
    <mergeCell ref="AH228:AH231"/>
    <mergeCell ref="C232:C235"/>
    <mergeCell ref="W232:W235"/>
    <mergeCell ref="X232:X235"/>
    <mergeCell ref="Y232:Y235"/>
    <mergeCell ref="Z232:Z235"/>
    <mergeCell ref="AA232:AA235"/>
    <mergeCell ref="AB232:AB235"/>
    <mergeCell ref="AC232:AC235"/>
    <mergeCell ref="AD232:AD235"/>
    <mergeCell ref="AB228:AB231"/>
    <mergeCell ref="AC228:AC231"/>
    <mergeCell ref="AD228:AD231"/>
    <mergeCell ref="AE228:AE231"/>
    <mergeCell ref="AF228:AF231"/>
    <mergeCell ref="AG228:AG231"/>
    <mergeCell ref="AD248:AH248"/>
    <mergeCell ref="A240:A243"/>
    <mergeCell ref="B240:B243"/>
    <mergeCell ref="C240:C243"/>
    <mergeCell ref="AH240:AH243"/>
    <mergeCell ref="AD246:AH246"/>
    <mergeCell ref="AE247:AH247"/>
    <mergeCell ref="AE232:AE235"/>
    <mergeCell ref="AF232:AF235"/>
    <mergeCell ref="AG232:AG235"/>
    <mergeCell ref="AH232:AH235"/>
    <mergeCell ref="C236:C239"/>
    <mergeCell ref="AH236:AH239"/>
  </mergeCells>
  <dataValidations count="1">
    <dataValidation type="list" allowBlank="1" showInputMessage="1" showErrorMessage="1" sqref="W31 W7 W11 W15 W19 W23 W27 W35" xr:uid="{00000000-0002-0000-0300-000000000000}">
      <formula1>#REF!</formula1>
    </dataValidation>
  </dataValidations>
  <pageMargins left="0.70866141732283472" right="0.70866141732283472" top="0.74803149606299213" bottom="0.74803149606299213" header="0.31496062992125984" footer="0.31496062992125984"/>
  <pageSetup scale="24" orientation="portrait" r:id="rId1"/>
  <headerFooter>
    <oddFooter>&amp;C&amp;G</oddFooter>
  </headerFooter>
  <colBreaks count="1" manualBreakCount="1">
    <brk id="34"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GESTIÓN</vt:lpstr>
      <vt:lpstr>INVERSIÓN</vt:lpstr>
      <vt:lpstr>ACTIVIDADES </vt:lpstr>
      <vt:lpstr>TERRITORIALIZACIÓN</vt:lpstr>
      <vt:lpstr>'ACTIVIDADES '!Área_de_impresión</vt:lpstr>
      <vt:lpstr>GESTIÓN!Área_de_impresión</vt:lpstr>
      <vt:lpstr>INVERSIÓN!Área_de_impresión</vt:lpstr>
      <vt:lpstr>TERRITORIALIZACIÓN!Área_de_impresión</vt:lpstr>
      <vt:lpstr>INVERSIÓN!Títulos_a_imprimir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MARCELA.REYES</cp:lastModifiedBy>
  <cp:lastPrinted>2014-06-04T20:08:47Z</cp:lastPrinted>
  <dcterms:created xsi:type="dcterms:W3CDTF">2010-03-25T16:40:43Z</dcterms:created>
  <dcterms:modified xsi:type="dcterms:W3CDTF">2019-03-04T17:20:15Z</dcterms:modified>
</cp:coreProperties>
</file>